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adl\Documents\Work Folder\Mgmt 120\Tableau Explore\"/>
    </mc:Choice>
  </mc:AlternateContent>
  <xr:revisionPtr revIDLastSave="0" documentId="13_ncr:1_{5FAD89CB-13B4-41D7-8102-D267524CD3C3}" xr6:coauthVersionLast="43" xr6:coauthVersionMax="43" xr10:uidLastSave="{00000000-0000-0000-0000-000000000000}"/>
  <bookViews>
    <workbookView xWindow="-110" yWindow="490" windowWidth="19420" windowHeight="11620" tabRatio="677" xr2:uid="{00000000-000D-0000-FFFF-FFFF00000000}"/>
  </bookViews>
  <sheets>
    <sheet name="Summary" sheetId="3" r:id="rId1"/>
    <sheet name="Check" sheetId="6" r:id="rId2"/>
    <sheet name="Scores" sheetId="8" r:id="rId3"/>
    <sheet name="Comments" sheetId="7" r:id="rId4"/>
    <sheet name="Run Data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9" i="3" l="1"/>
  <c r="R32" i="3"/>
  <c r="R31" i="3"/>
  <c r="R30" i="3"/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1255" i="1" s="1"/>
  <c r="C1256" i="1" s="1"/>
  <c r="C1257" i="1" s="1"/>
  <c r="C1258" i="1" s="1"/>
  <c r="C1259" i="1" s="1"/>
  <c r="C1260" i="1" s="1"/>
  <c r="C1261" i="1" s="1"/>
  <c r="C1262" i="1" s="1"/>
  <c r="C1263" i="1" s="1"/>
  <c r="C1264" i="1" s="1"/>
  <c r="C1265" i="1" s="1"/>
  <c r="C1266" i="1" s="1"/>
  <c r="C1267" i="1" s="1"/>
  <c r="C1268" i="1" s="1"/>
  <c r="C1269" i="1" s="1"/>
  <c r="C1270" i="1" s="1"/>
  <c r="C1271" i="1" s="1"/>
  <c r="C1272" i="1" s="1"/>
  <c r="C1273" i="1" s="1"/>
  <c r="C1274" i="1" s="1"/>
  <c r="C1275" i="1" s="1"/>
  <c r="C1276" i="1" s="1"/>
  <c r="C1277" i="1" s="1"/>
  <c r="C1278" i="1" s="1"/>
  <c r="C1279" i="1" s="1"/>
  <c r="C1280" i="1" s="1"/>
  <c r="C1281" i="1" s="1"/>
  <c r="C1282" i="1" s="1"/>
  <c r="C1283" i="1" s="1"/>
  <c r="C1284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295" i="1" s="1"/>
  <c r="C1296" i="1" s="1"/>
  <c r="C1297" i="1" s="1"/>
  <c r="C1298" i="1" s="1"/>
  <c r="C1299" i="1" s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366" i="1" s="1"/>
  <c r="C1367" i="1" s="1"/>
  <c r="C1368" i="1" s="1"/>
  <c r="C1369" i="1" s="1"/>
  <c r="C1370" i="1" s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C1381" i="1" s="1"/>
  <c r="C1382" i="1" s="1"/>
  <c r="C1383" i="1" s="1"/>
  <c r="C1384" i="1" s="1"/>
  <c r="C1385" i="1" s="1"/>
  <c r="C1386" i="1" s="1"/>
  <c r="C1387" i="1" s="1"/>
  <c r="C1388" i="1" s="1"/>
  <c r="C1389" i="1" s="1"/>
  <c r="C1390" i="1" s="1"/>
  <c r="C1391" i="1" s="1"/>
  <c r="C1392" i="1" s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8" i="1" s="1"/>
  <c r="C1419" i="1" s="1"/>
  <c r="C1420" i="1" s="1"/>
  <c r="C1421" i="1" s="1"/>
  <c r="C1422" i="1" s="1"/>
  <c r="C1423" i="1" s="1"/>
  <c r="C1424" i="1" s="1"/>
  <c r="C1425" i="1" s="1"/>
  <c r="C1426" i="1" s="1"/>
  <c r="C1427" i="1" s="1"/>
  <c r="C1428" i="1" s="1"/>
  <c r="C1429" i="1" s="1"/>
  <c r="C1430" i="1" s="1"/>
  <c r="C1431" i="1" s="1"/>
  <c r="C1432" i="1" s="1"/>
  <c r="C1433" i="1" s="1"/>
  <c r="C1434" i="1" s="1"/>
  <c r="C1435" i="1" s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69" i="1" s="1"/>
  <c r="C1470" i="1" s="1"/>
  <c r="C1471" i="1" s="1"/>
  <c r="C1472" i="1" s="1"/>
  <c r="C1473" i="1" s="1"/>
  <c r="C1474" i="1" s="1"/>
  <c r="C1475" i="1" s="1"/>
  <c r="C1476" i="1" s="1"/>
  <c r="C1477" i="1" s="1"/>
  <c r="C1478" i="1" s="1"/>
  <c r="C1479" i="1" s="1"/>
  <c r="C1480" i="1" s="1"/>
  <c r="C1481" i="1" s="1"/>
  <c r="C1482" i="1" s="1"/>
  <c r="C1483" i="1" s="1"/>
  <c r="C1484" i="1" s="1"/>
  <c r="C1485" i="1" s="1"/>
  <c r="C1486" i="1" s="1"/>
  <c r="C1487" i="1" s="1"/>
  <c r="C1488" i="1" s="1"/>
  <c r="C1489" i="1" s="1"/>
  <c r="C1490" i="1" s="1"/>
  <c r="C1491" i="1" s="1"/>
  <c r="C1492" i="1" s="1"/>
  <c r="C1493" i="1" s="1"/>
  <c r="C1494" i="1" s="1"/>
  <c r="C1495" i="1" s="1"/>
  <c r="C1496" i="1" s="1"/>
  <c r="C1497" i="1" s="1"/>
  <c r="C1498" i="1" s="1"/>
  <c r="C1499" i="1" s="1"/>
  <c r="C1500" i="1" s="1"/>
  <c r="C2" i="1"/>
  <c r="Q31" i="3" l="1"/>
  <c r="Q32" i="3" s="1"/>
  <c r="Q29" i="3"/>
  <c r="Q27" i="3"/>
  <c r="R84" i="3"/>
  <c r="R83" i="3"/>
  <c r="R82" i="3"/>
  <c r="R81" i="3"/>
  <c r="Q82" i="3"/>
  <c r="Q83" i="3" s="1"/>
  <c r="Q84" i="3" s="1"/>
  <c r="R78" i="3"/>
  <c r="Q77" i="3"/>
  <c r="Q78" i="3" s="1"/>
  <c r="R77" i="3"/>
  <c r="R76" i="3"/>
  <c r="R68" i="3"/>
  <c r="R67" i="3"/>
  <c r="R66" i="3"/>
  <c r="R65" i="3"/>
  <c r="R62" i="3"/>
  <c r="R61" i="3"/>
  <c r="Q43" i="3"/>
  <c r="Q42" i="3"/>
  <c r="P43" i="3"/>
  <c r="Q66" i="3"/>
  <c r="Q67" i="3" s="1"/>
  <c r="Q68" i="3" s="1"/>
  <c r="Q62" i="3"/>
  <c r="Q57" i="3"/>
  <c r="Q58" i="3" s="1"/>
  <c r="P38" i="3"/>
  <c r="P37" i="3"/>
  <c r="P36" i="3"/>
  <c r="R29" i="3"/>
  <c r="R28" i="3"/>
  <c r="R27" i="3"/>
  <c r="R26" i="3"/>
  <c r="Q24" i="3"/>
  <c r="Q23" i="3"/>
  <c r="Q22" i="3"/>
  <c r="Q21" i="3"/>
  <c r="Q20" i="3"/>
  <c r="Q19" i="3"/>
  <c r="Q18" i="3"/>
  <c r="Q17" i="3"/>
  <c r="Q16" i="3"/>
  <c r="Q15" i="3"/>
  <c r="Q14" i="3"/>
  <c r="Q13" i="3"/>
  <c r="R58" i="3"/>
  <c r="R57" i="3"/>
  <c r="R56" i="3"/>
  <c r="P30" i="3"/>
  <c r="P28" i="3"/>
  <c r="P26" i="3"/>
  <c r="F1" i="6" l="1"/>
  <c r="B2" i="6" l="1"/>
  <c r="B1" i="6"/>
  <c r="I3" i="3"/>
  <c r="J3" i="3"/>
  <c r="I4" i="3"/>
  <c r="J4" i="3" s="1"/>
  <c r="I2" i="3"/>
  <c r="I5" i="3"/>
  <c r="J5" i="3" s="1"/>
  <c r="P14" i="3"/>
  <c r="P15" i="3" s="1"/>
  <c r="P16" i="3" s="1"/>
  <c r="P17" i="3" s="1"/>
  <c r="P18" i="3" s="1"/>
  <c r="P19" i="3" s="1"/>
  <c r="P20" i="3" s="1"/>
  <c r="P21" i="3" s="1"/>
  <c r="P22" i="3" s="1"/>
  <c r="P23" i="3" s="1"/>
  <c r="P24" i="3" s="1"/>
  <c r="B6" i="6"/>
  <c r="A6" i="6"/>
  <c r="R25" i="3"/>
  <c r="J2" i="1"/>
  <c r="I2" i="1"/>
  <c r="J7" i="3" l="1"/>
  <c r="I15" i="3" s="1"/>
  <c r="L1" i="3" s="1"/>
  <c r="L2" i="3" l="1"/>
  <c r="M1" i="3"/>
  <c r="A2" i="1" s="1"/>
  <c r="L3" i="3" l="1"/>
  <c r="M2" i="3"/>
  <c r="A3" i="1" s="1"/>
  <c r="L4" i="3" l="1"/>
  <c r="M3" i="3"/>
  <c r="A4" i="1" l="1"/>
  <c r="B2" i="1"/>
  <c r="M4" i="3"/>
  <c r="L5" i="3"/>
  <c r="L6" i="3" l="1"/>
  <c r="M5" i="3"/>
  <c r="A6" i="1" s="1"/>
  <c r="A5" i="1"/>
  <c r="B3" i="1"/>
  <c r="B4" i="1"/>
  <c r="L7" i="3" l="1"/>
  <c r="M6" i="3"/>
  <c r="B5" i="1" l="1"/>
  <c r="A7" i="1"/>
  <c r="M7" i="3"/>
  <c r="L8" i="3"/>
  <c r="M8" i="3" l="1"/>
  <c r="B7" i="1" s="1"/>
  <c r="L9" i="3"/>
  <c r="A8" i="1"/>
  <c r="B6" i="1"/>
  <c r="L10" i="3" l="1"/>
  <c r="M9" i="3"/>
  <c r="V3" i="3"/>
  <c r="D11" i="6" s="1"/>
  <c r="A9" i="1"/>
  <c r="A10" i="1" l="1"/>
  <c r="B8" i="1"/>
  <c r="D2" i="1"/>
  <c r="L11" i="3"/>
  <c r="M10" i="3"/>
  <c r="A11" i="1" s="1"/>
  <c r="L12" i="3" l="1"/>
  <c r="M11" i="3"/>
  <c r="B9" i="1"/>
  <c r="A12" i="1" l="1"/>
  <c r="B10" i="1"/>
  <c r="M12" i="3"/>
  <c r="L13" i="3"/>
  <c r="L14" i="3" l="1"/>
  <c r="M13" i="3"/>
  <c r="A13" i="1"/>
  <c r="J10" i="3"/>
  <c r="E2" i="1"/>
  <c r="B11" i="1"/>
  <c r="A14" i="1" l="1"/>
  <c r="B12" i="1"/>
  <c r="E3" i="1"/>
  <c r="M14" i="3"/>
  <c r="L15" i="3"/>
  <c r="L16" i="3" l="1"/>
  <c r="M15" i="3"/>
  <c r="A15" i="1"/>
  <c r="E4" i="1"/>
  <c r="B13" i="1"/>
  <c r="A16" i="1" l="1"/>
  <c r="E5" i="1"/>
  <c r="F2" i="1"/>
  <c r="L17" i="3"/>
  <c r="M16" i="3"/>
  <c r="B14" i="1"/>
  <c r="B15" i="1" l="1"/>
  <c r="A17" i="1"/>
  <c r="E6" i="1"/>
  <c r="F3" i="1"/>
  <c r="M17" i="3"/>
  <c r="L18" i="3"/>
  <c r="A18" i="1" l="1"/>
  <c r="E7" i="1"/>
  <c r="F4" i="1"/>
  <c r="B16" i="1"/>
  <c r="L19" i="3"/>
  <c r="M18" i="3"/>
  <c r="A19" i="1" l="1"/>
  <c r="E8" i="1"/>
  <c r="F5" i="1"/>
  <c r="B17" i="1"/>
  <c r="M19" i="3"/>
  <c r="P88" i="3" s="1"/>
  <c r="L20" i="3"/>
  <c r="M20" i="3" l="1"/>
  <c r="L21" i="3"/>
  <c r="A20" i="1"/>
  <c r="B18" i="1"/>
  <c r="E9" i="1"/>
  <c r="F6" i="1"/>
  <c r="A7" i="6" l="1"/>
  <c r="L22" i="3"/>
  <c r="M21" i="3"/>
  <c r="A21" i="1"/>
  <c r="B19" i="1"/>
  <c r="E10" i="1"/>
  <c r="Q88" i="3"/>
  <c r="J11" i="3"/>
  <c r="F7" i="1"/>
  <c r="Q89" i="3" l="1"/>
  <c r="A22" i="1"/>
  <c r="E11" i="1"/>
  <c r="F8" i="1"/>
  <c r="M22" i="3"/>
  <c r="L23" i="3"/>
  <c r="B20" i="1"/>
  <c r="B7" i="6"/>
  <c r="B8" i="6"/>
  <c r="L24" i="3" l="1"/>
  <c r="M23" i="3"/>
  <c r="A23" i="1"/>
  <c r="B21" i="1"/>
  <c r="E12" i="1"/>
  <c r="F9" i="1"/>
  <c r="B22" i="1"/>
  <c r="A8" i="6" l="1"/>
  <c r="G2" i="1"/>
  <c r="M24" i="3"/>
  <c r="L25" i="3"/>
  <c r="A24" i="1"/>
  <c r="E13" i="1"/>
  <c r="F10" i="1"/>
  <c r="L26" i="3" l="1"/>
  <c r="M25" i="3"/>
  <c r="A25" i="1"/>
  <c r="B23" i="1"/>
  <c r="E14" i="1"/>
  <c r="F11" i="1"/>
  <c r="A26" i="1" l="1"/>
  <c r="E15" i="1"/>
  <c r="F12" i="1"/>
  <c r="M26" i="3"/>
  <c r="B25" i="1" s="1"/>
  <c r="L27" i="3"/>
  <c r="B24" i="1"/>
  <c r="A27" i="1" l="1"/>
  <c r="E16" i="1"/>
  <c r="F13" i="1"/>
  <c r="L28" i="3"/>
  <c r="M27" i="3"/>
  <c r="M28" i="3" l="1"/>
  <c r="L29" i="3"/>
  <c r="A28" i="1"/>
  <c r="E17" i="1"/>
  <c r="B26" i="1"/>
  <c r="F14" i="1"/>
  <c r="M29" i="3" l="1"/>
  <c r="L30" i="3"/>
  <c r="B27" i="1"/>
  <c r="A29" i="1"/>
  <c r="E18" i="1"/>
  <c r="F15" i="1"/>
  <c r="A30" i="1" l="1"/>
  <c r="E19" i="1"/>
  <c r="F16" i="1"/>
  <c r="M30" i="3"/>
  <c r="L31" i="3"/>
  <c r="B28" i="1"/>
  <c r="M31" i="3" l="1"/>
  <c r="L32" i="3"/>
  <c r="B29" i="1"/>
  <c r="A31" i="1"/>
  <c r="E20" i="1"/>
  <c r="F17" i="1"/>
  <c r="B30" i="1"/>
  <c r="M32" i="3" l="1"/>
  <c r="L33" i="3"/>
  <c r="A32" i="1"/>
  <c r="E21" i="1"/>
  <c r="F18" i="1"/>
  <c r="M33" i="3" l="1"/>
  <c r="L34" i="3"/>
  <c r="A33" i="1"/>
  <c r="B31" i="1"/>
  <c r="E22" i="1"/>
  <c r="F19" i="1"/>
  <c r="B32" i="1"/>
  <c r="L35" i="3" l="1"/>
  <c r="M34" i="3"/>
  <c r="B33" i="1" s="1"/>
  <c r="A34" i="1"/>
  <c r="E23" i="1"/>
  <c r="F20" i="1"/>
  <c r="M35" i="3" l="1"/>
  <c r="L36" i="3"/>
  <c r="A35" i="1"/>
  <c r="E24" i="1"/>
  <c r="F21" i="1"/>
  <c r="L37" i="3" l="1"/>
  <c r="M36" i="3"/>
  <c r="A36" i="1"/>
  <c r="E25" i="1"/>
  <c r="B34" i="1"/>
  <c r="F22" i="1"/>
  <c r="A37" i="1" l="1"/>
  <c r="B35" i="1"/>
  <c r="E26" i="1"/>
  <c r="F23" i="1"/>
  <c r="M37" i="3"/>
  <c r="L38" i="3"/>
  <c r="M38" i="3" l="1"/>
  <c r="L39" i="3"/>
  <c r="A38" i="1"/>
  <c r="E27" i="1"/>
  <c r="F24" i="1"/>
  <c r="B36" i="1"/>
  <c r="L40" i="3" l="1"/>
  <c r="M39" i="3"/>
  <c r="B38" i="1"/>
  <c r="A39" i="1"/>
  <c r="B37" i="1"/>
  <c r="E28" i="1"/>
  <c r="F25" i="1"/>
  <c r="A40" i="1" l="1"/>
  <c r="E29" i="1"/>
  <c r="F26" i="1"/>
  <c r="M40" i="3"/>
  <c r="L41" i="3"/>
  <c r="A41" i="1" l="1"/>
  <c r="B39" i="1"/>
  <c r="E30" i="1"/>
  <c r="F27" i="1"/>
  <c r="L42" i="3"/>
  <c r="M41" i="3"/>
  <c r="M42" i="3" l="1"/>
  <c r="L43" i="3"/>
  <c r="A42" i="1"/>
  <c r="E31" i="1"/>
  <c r="F28" i="1"/>
  <c r="B40" i="1"/>
  <c r="B41" i="1"/>
  <c r="L44" i="3" l="1"/>
  <c r="M43" i="3"/>
  <c r="A43" i="1"/>
  <c r="E32" i="1"/>
  <c r="F29" i="1"/>
  <c r="M44" i="3" l="1"/>
  <c r="L45" i="3"/>
  <c r="A44" i="1"/>
  <c r="E33" i="1"/>
  <c r="B42" i="1"/>
  <c r="F30" i="1"/>
  <c r="M45" i="3" l="1"/>
  <c r="L46" i="3"/>
  <c r="A45" i="1"/>
  <c r="B43" i="1"/>
  <c r="E34" i="1"/>
  <c r="F31" i="1"/>
  <c r="A46" i="1" l="1"/>
  <c r="E35" i="1"/>
  <c r="F32" i="1"/>
  <c r="L47" i="3"/>
  <c r="M46" i="3"/>
  <c r="B44" i="1"/>
  <c r="M47" i="3" l="1"/>
  <c r="B46" i="1" s="1"/>
  <c r="L48" i="3"/>
  <c r="A47" i="1"/>
  <c r="B45" i="1"/>
  <c r="E36" i="1"/>
  <c r="F33" i="1"/>
  <c r="L49" i="3" l="1"/>
  <c r="M48" i="3"/>
  <c r="A48" i="1"/>
  <c r="E37" i="1"/>
  <c r="F34" i="1"/>
  <c r="M49" i="3" l="1"/>
  <c r="L50" i="3"/>
  <c r="A49" i="1"/>
  <c r="B47" i="1"/>
  <c r="E38" i="1"/>
  <c r="F35" i="1"/>
  <c r="B48" i="1"/>
  <c r="M50" i="3" l="1"/>
  <c r="L51" i="3"/>
  <c r="A50" i="1"/>
  <c r="E39" i="1"/>
  <c r="F36" i="1"/>
  <c r="M51" i="3" l="1"/>
  <c r="L52" i="3"/>
  <c r="A51" i="1"/>
  <c r="E40" i="1"/>
  <c r="F37" i="1"/>
  <c r="B49" i="1"/>
  <c r="M52" i="3" l="1"/>
  <c r="L53" i="3"/>
  <c r="A52" i="1"/>
  <c r="E41" i="1"/>
  <c r="B50" i="1"/>
  <c r="F38" i="1"/>
  <c r="L54" i="3" l="1"/>
  <c r="M53" i="3"/>
  <c r="A53" i="1"/>
  <c r="B51" i="1"/>
  <c r="E42" i="1"/>
  <c r="F39" i="1"/>
  <c r="A54" i="1" l="1"/>
  <c r="E43" i="1"/>
  <c r="F40" i="1"/>
  <c r="M54" i="3"/>
  <c r="L55" i="3"/>
  <c r="B52" i="1"/>
  <c r="B53" i="1" l="1"/>
  <c r="A55" i="1"/>
  <c r="E44" i="1"/>
  <c r="F41" i="1"/>
  <c r="L56" i="3"/>
  <c r="M55" i="3"/>
  <c r="B54" i="1" s="1"/>
  <c r="M56" i="3" l="1"/>
  <c r="L57" i="3"/>
  <c r="A56" i="1"/>
  <c r="E45" i="1"/>
  <c r="F42" i="1"/>
  <c r="M57" i="3" l="1"/>
  <c r="L58" i="3"/>
  <c r="B55" i="1"/>
  <c r="A57" i="1"/>
  <c r="E46" i="1"/>
  <c r="F43" i="1"/>
  <c r="A58" i="1" l="1"/>
  <c r="E47" i="1"/>
  <c r="F44" i="1"/>
  <c r="M58" i="3"/>
  <c r="L59" i="3"/>
  <c r="B56" i="1"/>
  <c r="M59" i="3" l="1"/>
  <c r="L60" i="3"/>
  <c r="A59" i="1"/>
  <c r="E48" i="1"/>
  <c r="F45" i="1"/>
  <c r="B57" i="1"/>
  <c r="L61" i="3" l="1"/>
  <c r="M60" i="3"/>
  <c r="A60" i="1"/>
  <c r="E49" i="1"/>
  <c r="B58" i="1"/>
  <c r="F46" i="1"/>
  <c r="A61" i="1" l="1"/>
  <c r="B59" i="1"/>
  <c r="E50" i="1"/>
  <c r="F47" i="1"/>
  <c r="M61" i="3"/>
  <c r="L62" i="3"/>
  <c r="M62" i="3" l="1"/>
  <c r="L63" i="3"/>
  <c r="A62" i="1"/>
  <c r="E51" i="1"/>
  <c r="F48" i="1"/>
  <c r="B60" i="1"/>
  <c r="M63" i="3" l="1"/>
  <c r="L64" i="3"/>
  <c r="A63" i="1"/>
  <c r="B61" i="1"/>
  <c r="E52" i="1"/>
  <c r="F49" i="1"/>
  <c r="A64" i="1" l="1"/>
  <c r="E53" i="1"/>
  <c r="F50" i="1"/>
  <c r="M64" i="3"/>
  <c r="L65" i="3"/>
  <c r="B62" i="1"/>
  <c r="A65" i="1" l="1"/>
  <c r="B63" i="1"/>
  <c r="E54" i="1"/>
  <c r="F51" i="1"/>
  <c r="L66" i="3"/>
  <c r="M65" i="3"/>
  <c r="B64" i="1" s="1"/>
  <c r="M66" i="3" l="1"/>
  <c r="L67" i="3"/>
  <c r="A66" i="1"/>
  <c r="E55" i="1"/>
  <c r="F52" i="1"/>
  <c r="B65" i="1"/>
  <c r="L68" i="3" l="1"/>
  <c r="M67" i="3"/>
  <c r="A67" i="1"/>
  <c r="E56" i="1"/>
  <c r="F53" i="1"/>
  <c r="M68" i="3" l="1"/>
  <c r="L69" i="3"/>
  <c r="A68" i="1"/>
  <c r="E57" i="1"/>
  <c r="B66" i="1"/>
  <c r="F54" i="1"/>
  <c r="M69" i="3" l="1"/>
  <c r="L70" i="3"/>
  <c r="B67" i="1"/>
  <c r="A69" i="1"/>
  <c r="E58" i="1"/>
  <c r="F55" i="1"/>
  <c r="M70" i="3" l="1"/>
  <c r="L71" i="3"/>
  <c r="A70" i="1"/>
  <c r="E59" i="1"/>
  <c r="F56" i="1"/>
  <c r="B68" i="1"/>
  <c r="M71" i="3" l="1"/>
  <c r="L72" i="3"/>
  <c r="A71" i="1"/>
  <c r="B69" i="1"/>
  <c r="E60" i="1"/>
  <c r="F57" i="1"/>
  <c r="L73" i="3" l="1"/>
  <c r="M72" i="3"/>
  <c r="A72" i="1"/>
  <c r="E61" i="1"/>
  <c r="F58" i="1"/>
  <c r="B70" i="1"/>
  <c r="A73" i="1" l="1"/>
  <c r="B71" i="1"/>
  <c r="E62" i="1"/>
  <c r="F59" i="1"/>
  <c r="M73" i="3"/>
  <c r="L74" i="3"/>
  <c r="B72" i="1"/>
  <c r="A74" i="1" l="1"/>
  <c r="E63" i="1"/>
  <c r="F60" i="1"/>
  <c r="L75" i="3"/>
  <c r="M74" i="3"/>
  <c r="B73" i="1"/>
  <c r="A75" i="1" l="1"/>
  <c r="E64" i="1"/>
  <c r="F61" i="1"/>
  <c r="M75" i="3"/>
  <c r="L76" i="3"/>
  <c r="M76" i="3" l="1"/>
  <c r="L77" i="3"/>
  <c r="A76" i="1"/>
  <c r="E65" i="1"/>
  <c r="B74" i="1"/>
  <c r="F62" i="1"/>
  <c r="M77" i="3" l="1"/>
  <c r="B76" i="1" s="1"/>
  <c r="L78" i="3"/>
  <c r="A77" i="1"/>
  <c r="B75" i="1"/>
  <c r="E66" i="1"/>
  <c r="F63" i="1"/>
  <c r="M78" i="3" l="1"/>
  <c r="L79" i="3"/>
  <c r="A78" i="1"/>
  <c r="E67" i="1"/>
  <c r="F64" i="1"/>
  <c r="L80" i="3" l="1"/>
  <c r="M79" i="3"/>
  <c r="A79" i="1"/>
  <c r="B77" i="1"/>
  <c r="E68" i="1"/>
  <c r="F65" i="1"/>
  <c r="M80" i="3" l="1"/>
  <c r="L81" i="3"/>
  <c r="A80" i="1"/>
  <c r="E69" i="1"/>
  <c r="F66" i="1"/>
  <c r="B78" i="1"/>
  <c r="L82" i="3" l="1"/>
  <c r="M81" i="3"/>
  <c r="B79" i="1"/>
  <c r="A81" i="1"/>
  <c r="E70" i="1"/>
  <c r="F67" i="1"/>
  <c r="B80" i="1"/>
  <c r="A82" i="1" l="1"/>
  <c r="E71" i="1"/>
  <c r="F68" i="1"/>
  <c r="M82" i="3"/>
  <c r="B81" i="1" s="1"/>
  <c r="L83" i="3"/>
  <c r="M83" i="3" l="1"/>
  <c r="L84" i="3"/>
  <c r="A83" i="1"/>
  <c r="E72" i="1"/>
  <c r="F69" i="1"/>
  <c r="M84" i="3" l="1"/>
  <c r="L85" i="3"/>
  <c r="A84" i="1"/>
  <c r="E73" i="1"/>
  <c r="B82" i="1"/>
  <c r="F70" i="1"/>
  <c r="A85" i="1" l="1"/>
  <c r="B83" i="1"/>
  <c r="E74" i="1"/>
  <c r="F71" i="1"/>
  <c r="M85" i="3"/>
  <c r="L86" i="3"/>
  <c r="A86" i="1" l="1"/>
  <c r="E75" i="1"/>
  <c r="F72" i="1"/>
  <c r="B84" i="1"/>
  <c r="L87" i="3"/>
  <c r="M86" i="3"/>
  <c r="M87" i="3" l="1"/>
  <c r="L88" i="3"/>
  <c r="A87" i="1"/>
  <c r="B85" i="1"/>
  <c r="E76" i="1"/>
  <c r="F73" i="1"/>
  <c r="B86" i="1"/>
  <c r="M88" i="3" l="1"/>
  <c r="L89" i="3"/>
  <c r="A88" i="1"/>
  <c r="E77" i="1"/>
  <c r="F74" i="1"/>
  <c r="M89" i="3" l="1"/>
  <c r="L90" i="3"/>
  <c r="A89" i="1"/>
  <c r="B87" i="1"/>
  <c r="E78" i="1"/>
  <c r="F75" i="1"/>
  <c r="B88" i="1"/>
  <c r="M90" i="3" l="1"/>
  <c r="B89" i="1" s="1"/>
  <c r="L91" i="3"/>
  <c r="A90" i="1"/>
  <c r="E79" i="1"/>
  <c r="F76" i="1"/>
  <c r="L92" i="3" l="1"/>
  <c r="M91" i="3"/>
  <c r="A91" i="1"/>
  <c r="E80" i="1"/>
  <c r="F77" i="1"/>
  <c r="A92" i="1" l="1"/>
  <c r="E81" i="1"/>
  <c r="B90" i="1"/>
  <c r="F78" i="1"/>
  <c r="M92" i="3"/>
  <c r="L93" i="3"/>
  <c r="L94" i="3" l="1"/>
  <c r="M93" i="3"/>
  <c r="B91" i="1"/>
  <c r="A93" i="1"/>
  <c r="E82" i="1"/>
  <c r="F79" i="1"/>
  <c r="B92" i="1"/>
  <c r="A94" i="1" l="1"/>
  <c r="E83" i="1"/>
  <c r="F80" i="1"/>
  <c r="M94" i="3"/>
  <c r="L95" i="3"/>
  <c r="M95" i="3" l="1"/>
  <c r="L96" i="3"/>
  <c r="B93" i="1"/>
  <c r="A95" i="1"/>
  <c r="E84" i="1"/>
  <c r="F81" i="1"/>
  <c r="B94" i="1"/>
  <c r="M96" i="3" l="1"/>
  <c r="L97" i="3"/>
  <c r="A96" i="1"/>
  <c r="E85" i="1"/>
  <c r="F82" i="1"/>
  <c r="M97" i="3" l="1"/>
  <c r="L98" i="3"/>
  <c r="A97" i="1"/>
  <c r="B95" i="1"/>
  <c r="E86" i="1"/>
  <c r="F83" i="1"/>
  <c r="B96" i="1"/>
  <c r="L99" i="3" l="1"/>
  <c r="M98" i="3"/>
  <c r="A98" i="1"/>
  <c r="E87" i="1"/>
  <c r="F84" i="1"/>
  <c r="M99" i="3" l="1"/>
  <c r="L100" i="3"/>
  <c r="A99" i="1"/>
  <c r="E88" i="1"/>
  <c r="F85" i="1"/>
  <c r="B97" i="1"/>
  <c r="L101" i="3" l="1"/>
  <c r="M100" i="3"/>
  <c r="A100" i="1"/>
  <c r="E89" i="1"/>
  <c r="B98" i="1"/>
  <c r="F86" i="1"/>
  <c r="A101" i="1" l="1"/>
  <c r="B99" i="1"/>
  <c r="E90" i="1"/>
  <c r="F87" i="1"/>
  <c r="M101" i="3"/>
  <c r="L102" i="3"/>
  <c r="M102" i="3" l="1"/>
  <c r="L103" i="3"/>
  <c r="A102" i="1"/>
  <c r="E91" i="1"/>
  <c r="F88" i="1"/>
  <c r="B100" i="1"/>
  <c r="L104" i="3" l="1"/>
  <c r="M103" i="3"/>
  <c r="B102" i="1"/>
  <c r="A103" i="1"/>
  <c r="B101" i="1"/>
  <c r="E92" i="1"/>
  <c r="F89" i="1"/>
  <c r="A104" i="1" l="1"/>
  <c r="E93" i="1"/>
  <c r="F90" i="1"/>
  <c r="M104" i="3"/>
  <c r="L105" i="3"/>
  <c r="L106" i="3" l="1"/>
  <c r="M105" i="3"/>
  <c r="A105" i="1"/>
  <c r="B103" i="1"/>
  <c r="E94" i="1"/>
  <c r="F91" i="1"/>
  <c r="B104" i="1"/>
  <c r="A106" i="1" l="1"/>
  <c r="E95" i="1"/>
  <c r="F92" i="1"/>
  <c r="M106" i="3"/>
  <c r="L107" i="3"/>
  <c r="A107" i="1" l="1"/>
  <c r="E96" i="1"/>
  <c r="F93" i="1"/>
  <c r="L108" i="3"/>
  <c r="M107" i="3"/>
  <c r="B105" i="1"/>
  <c r="M108" i="3" l="1"/>
  <c r="L109" i="3"/>
  <c r="A108" i="1"/>
  <c r="E97" i="1"/>
  <c r="B106" i="1"/>
  <c r="F94" i="1"/>
  <c r="A109" i="1" l="1"/>
  <c r="B107" i="1"/>
  <c r="E98" i="1"/>
  <c r="F95" i="1"/>
  <c r="M109" i="3"/>
  <c r="B108" i="1" s="1"/>
  <c r="L110" i="3"/>
  <c r="L111" i="3" l="1"/>
  <c r="M110" i="3"/>
  <c r="A110" i="1"/>
  <c r="E99" i="1"/>
  <c r="F96" i="1"/>
  <c r="A111" i="1" l="1"/>
  <c r="B109" i="1"/>
  <c r="E100" i="1"/>
  <c r="F97" i="1"/>
  <c r="M111" i="3"/>
  <c r="L112" i="3"/>
  <c r="A112" i="1" l="1"/>
  <c r="E101" i="1"/>
  <c r="F98" i="1"/>
  <c r="L113" i="3"/>
  <c r="M112" i="3"/>
  <c r="B110" i="1"/>
  <c r="A113" i="1" l="1"/>
  <c r="B111" i="1"/>
  <c r="E102" i="1"/>
  <c r="F99" i="1"/>
  <c r="M113" i="3"/>
  <c r="L114" i="3"/>
  <c r="B112" i="1"/>
  <c r="M114" i="3" l="1"/>
  <c r="L115" i="3"/>
  <c r="A114" i="1"/>
  <c r="E103" i="1"/>
  <c r="F100" i="1"/>
  <c r="B113" i="1"/>
  <c r="M115" i="3" l="1"/>
  <c r="L116" i="3"/>
  <c r="A115" i="1"/>
  <c r="E104" i="1"/>
  <c r="F101" i="1"/>
  <c r="M116" i="3" l="1"/>
  <c r="L117" i="3"/>
  <c r="A116" i="1"/>
  <c r="E105" i="1"/>
  <c r="B114" i="1"/>
  <c r="F102" i="1"/>
  <c r="L118" i="3" l="1"/>
  <c r="M117" i="3"/>
  <c r="B116" i="1" s="1"/>
  <c r="A117" i="1"/>
  <c r="B115" i="1"/>
  <c r="E106" i="1"/>
  <c r="F103" i="1"/>
  <c r="A118" i="1" l="1"/>
  <c r="E107" i="1"/>
  <c r="F104" i="1"/>
  <c r="M118" i="3"/>
  <c r="L119" i="3"/>
  <c r="A119" i="1" l="1"/>
  <c r="B117" i="1"/>
  <c r="E108" i="1"/>
  <c r="F105" i="1"/>
  <c r="L120" i="3"/>
  <c r="M119" i="3"/>
  <c r="M120" i="3" l="1"/>
  <c r="L121" i="3"/>
  <c r="A120" i="1"/>
  <c r="E109" i="1"/>
  <c r="F106" i="1"/>
  <c r="B118" i="1"/>
  <c r="M121" i="3" l="1"/>
  <c r="B120" i="1" s="1"/>
  <c r="L122" i="3"/>
  <c r="A121" i="1"/>
  <c r="B119" i="1"/>
  <c r="E110" i="1"/>
  <c r="F107" i="1"/>
  <c r="M122" i="3" l="1"/>
  <c r="L123" i="3"/>
  <c r="A122" i="1"/>
  <c r="E111" i="1"/>
  <c r="F108" i="1"/>
  <c r="A123" i="1" l="1"/>
  <c r="E112" i="1"/>
  <c r="F109" i="1"/>
  <c r="B121" i="1"/>
  <c r="M123" i="3"/>
  <c r="L124" i="3"/>
  <c r="A124" i="1" l="1"/>
  <c r="E113" i="1"/>
  <c r="B122" i="1"/>
  <c r="F110" i="1"/>
  <c r="L125" i="3"/>
  <c r="M124" i="3"/>
  <c r="A125" i="1" l="1"/>
  <c r="B123" i="1"/>
  <c r="E114" i="1"/>
  <c r="F111" i="1"/>
  <c r="M125" i="3"/>
  <c r="B124" i="1" s="1"/>
  <c r="L126" i="3"/>
  <c r="M126" i="3" l="1"/>
  <c r="L127" i="3"/>
  <c r="A126" i="1"/>
  <c r="E115" i="1"/>
  <c r="F112" i="1"/>
  <c r="M127" i="3" l="1"/>
  <c r="L128" i="3"/>
  <c r="A127" i="1"/>
  <c r="B125" i="1"/>
  <c r="E116" i="1"/>
  <c r="F113" i="1"/>
  <c r="B126" i="1"/>
  <c r="M128" i="3" l="1"/>
  <c r="L129" i="3"/>
  <c r="A128" i="1"/>
  <c r="E117" i="1"/>
  <c r="F114" i="1"/>
  <c r="A129" i="1" l="1"/>
  <c r="B127" i="1"/>
  <c r="E118" i="1"/>
  <c r="F115" i="1"/>
  <c r="L130" i="3"/>
  <c r="M129" i="3"/>
  <c r="A130" i="1" l="1"/>
  <c r="E119" i="1"/>
  <c r="F116" i="1"/>
  <c r="M130" i="3"/>
  <c r="B129" i="1" s="1"/>
  <c r="L131" i="3"/>
  <c r="B128" i="1"/>
  <c r="L132" i="3" l="1"/>
  <c r="M131" i="3"/>
  <c r="A131" i="1"/>
  <c r="E120" i="1"/>
  <c r="F117" i="1"/>
  <c r="M132" i="3" l="1"/>
  <c r="L133" i="3"/>
  <c r="A132" i="1"/>
  <c r="E121" i="1"/>
  <c r="B130" i="1"/>
  <c r="F118" i="1"/>
  <c r="L134" i="3" l="1"/>
  <c r="M133" i="3"/>
  <c r="A133" i="1"/>
  <c r="B131" i="1"/>
  <c r="E122" i="1"/>
  <c r="F119" i="1"/>
  <c r="M134" i="3" l="1"/>
  <c r="L135" i="3"/>
  <c r="A134" i="1"/>
  <c r="E123" i="1"/>
  <c r="F120" i="1"/>
  <c r="B132" i="1"/>
  <c r="L136" i="3" l="1"/>
  <c r="M135" i="3"/>
  <c r="B134" i="1" s="1"/>
  <c r="A135" i="1"/>
  <c r="B133" i="1"/>
  <c r="E124" i="1"/>
  <c r="F121" i="1"/>
  <c r="M136" i="3" l="1"/>
  <c r="L137" i="3"/>
  <c r="A136" i="1"/>
  <c r="E125" i="1"/>
  <c r="F122" i="1"/>
  <c r="L138" i="3" l="1"/>
  <c r="M137" i="3"/>
  <c r="A137" i="1"/>
  <c r="B135" i="1"/>
  <c r="E126" i="1"/>
  <c r="F123" i="1"/>
  <c r="M138" i="3" l="1"/>
  <c r="B137" i="1" s="1"/>
  <c r="L139" i="3"/>
  <c r="A138" i="1"/>
  <c r="E127" i="1"/>
  <c r="F124" i="1"/>
  <c r="B136" i="1"/>
  <c r="M139" i="3" l="1"/>
  <c r="L140" i="3"/>
  <c r="A139" i="1"/>
  <c r="E128" i="1"/>
  <c r="F125" i="1"/>
  <c r="M140" i="3" l="1"/>
  <c r="L141" i="3"/>
  <c r="A140" i="1"/>
  <c r="E129" i="1"/>
  <c r="B138" i="1"/>
  <c r="F126" i="1"/>
  <c r="M141" i="3" l="1"/>
  <c r="L142" i="3"/>
  <c r="B140" i="1"/>
  <c r="B139" i="1"/>
  <c r="A141" i="1"/>
  <c r="E130" i="1"/>
  <c r="F127" i="1"/>
  <c r="A142" i="1" l="1"/>
  <c r="E131" i="1"/>
  <c r="F128" i="1"/>
  <c r="L143" i="3"/>
  <c r="M142" i="3"/>
  <c r="B141" i="1" l="1"/>
  <c r="A143" i="1"/>
  <c r="E132" i="1"/>
  <c r="F129" i="1"/>
  <c r="M143" i="3"/>
  <c r="B142" i="1" s="1"/>
  <c r="L144" i="3"/>
  <c r="M144" i="3" l="1"/>
  <c r="L145" i="3"/>
  <c r="A144" i="1"/>
  <c r="E133" i="1"/>
  <c r="F130" i="1"/>
  <c r="M145" i="3" l="1"/>
  <c r="L146" i="3"/>
  <c r="A145" i="1"/>
  <c r="B143" i="1"/>
  <c r="E134" i="1"/>
  <c r="F131" i="1"/>
  <c r="A146" i="1" l="1"/>
  <c r="E135" i="1"/>
  <c r="F132" i="1"/>
  <c r="M146" i="3"/>
  <c r="L147" i="3"/>
  <c r="B144" i="1"/>
  <c r="A147" i="1" l="1"/>
  <c r="E136" i="1"/>
  <c r="F133" i="1"/>
  <c r="M147" i="3"/>
  <c r="L148" i="3"/>
  <c r="B145" i="1"/>
  <c r="A148" i="1" l="1"/>
  <c r="E137" i="1"/>
  <c r="B146" i="1"/>
  <c r="F134" i="1"/>
  <c r="M148" i="3"/>
  <c r="L149" i="3"/>
  <c r="A149" i="1" l="1"/>
  <c r="B147" i="1"/>
  <c r="E138" i="1"/>
  <c r="F135" i="1"/>
  <c r="M149" i="3"/>
  <c r="B148" i="1" s="1"/>
  <c r="L150" i="3"/>
  <c r="M150" i="3" l="1"/>
  <c r="L151" i="3"/>
  <c r="A150" i="1"/>
  <c r="E139" i="1"/>
  <c r="F136" i="1"/>
  <c r="L152" i="3" l="1"/>
  <c r="M151" i="3"/>
  <c r="A151" i="1"/>
  <c r="B149" i="1"/>
  <c r="E140" i="1"/>
  <c r="F137" i="1"/>
  <c r="M152" i="3" l="1"/>
  <c r="L153" i="3"/>
  <c r="A152" i="1"/>
  <c r="E141" i="1"/>
  <c r="F138" i="1"/>
  <c r="B150" i="1"/>
  <c r="L154" i="3" l="1"/>
  <c r="M153" i="3"/>
  <c r="B152" i="1" s="1"/>
  <c r="A153" i="1"/>
  <c r="B151" i="1"/>
  <c r="E142" i="1"/>
  <c r="F139" i="1"/>
  <c r="M154" i="3" l="1"/>
  <c r="B153" i="1" s="1"/>
  <c r="L155" i="3"/>
  <c r="A154" i="1"/>
  <c r="E143" i="1"/>
  <c r="F140" i="1"/>
  <c r="L156" i="3" l="1"/>
  <c r="M155" i="3"/>
  <c r="A155" i="1"/>
  <c r="E144" i="1"/>
  <c r="F141" i="1"/>
  <c r="M156" i="3" l="1"/>
  <c r="L157" i="3"/>
  <c r="A156" i="1"/>
  <c r="E145" i="1"/>
  <c r="B154" i="1"/>
  <c r="F142" i="1"/>
  <c r="M157" i="3" l="1"/>
  <c r="L158" i="3"/>
  <c r="B156" i="1"/>
  <c r="A157" i="1"/>
  <c r="B155" i="1"/>
  <c r="E146" i="1"/>
  <c r="F143" i="1"/>
  <c r="L159" i="3" l="1"/>
  <c r="M158" i="3"/>
  <c r="A158" i="1"/>
  <c r="E147" i="1"/>
  <c r="F144" i="1"/>
  <c r="M159" i="3" l="1"/>
  <c r="B158" i="1" s="1"/>
  <c r="L160" i="3"/>
  <c r="A159" i="1"/>
  <c r="B157" i="1"/>
  <c r="E148" i="1"/>
  <c r="F145" i="1"/>
  <c r="L161" i="3" l="1"/>
  <c r="M160" i="3"/>
  <c r="A160" i="1"/>
  <c r="E149" i="1"/>
  <c r="F146" i="1"/>
  <c r="A161" i="1" l="1"/>
  <c r="B159" i="1"/>
  <c r="E150" i="1"/>
  <c r="F147" i="1"/>
  <c r="M161" i="3"/>
  <c r="L162" i="3"/>
  <c r="A162" i="1" l="1"/>
  <c r="E151" i="1"/>
  <c r="F148" i="1"/>
  <c r="M162" i="3"/>
  <c r="B161" i="1" s="1"/>
  <c r="L163" i="3"/>
  <c r="B160" i="1"/>
  <c r="M163" i="3" l="1"/>
  <c r="L164" i="3"/>
  <c r="A163" i="1"/>
  <c r="E152" i="1"/>
  <c r="F149" i="1"/>
  <c r="M164" i="3" l="1"/>
  <c r="L165" i="3"/>
  <c r="A164" i="1"/>
  <c r="E153" i="1"/>
  <c r="B162" i="1"/>
  <c r="F150" i="1"/>
  <c r="L166" i="3" l="1"/>
  <c r="M165" i="3"/>
  <c r="A165" i="1"/>
  <c r="B163" i="1"/>
  <c r="E154" i="1"/>
  <c r="F151" i="1"/>
  <c r="A166" i="1" l="1"/>
  <c r="E155" i="1"/>
  <c r="F152" i="1"/>
  <c r="M166" i="3"/>
  <c r="L167" i="3"/>
  <c r="B164" i="1"/>
  <c r="A167" i="1" l="1"/>
  <c r="B165" i="1"/>
  <c r="E156" i="1"/>
  <c r="F153" i="1"/>
  <c r="L168" i="3"/>
  <c r="M167" i="3"/>
  <c r="B166" i="1" s="1"/>
  <c r="A168" i="1" l="1"/>
  <c r="E157" i="1"/>
  <c r="F154" i="1"/>
  <c r="M168" i="3"/>
  <c r="L169" i="3"/>
  <c r="A169" i="1" l="1"/>
  <c r="B167" i="1"/>
  <c r="E158" i="1"/>
  <c r="F155" i="1"/>
  <c r="M169" i="3"/>
  <c r="L170" i="3"/>
  <c r="A170" i="1" l="1"/>
  <c r="E159" i="1"/>
  <c r="F156" i="1"/>
  <c r="B168" i="1"/>
  <c r="M170" i="3"/>
  <c r="L171" i="3"/>
  <c r="M171" i="3" l="1"/>
  <c r="L172" i="3"/>
  <c r="A171" i="1"/>
  <c r="E160" i="1"/>
  <c r="F157" i="1"/>
  <c r="B169" i="1"/>
  <c r="L173" i="3" l="1"/>
  <c r="M172" i="3"/>
  <c r="A172" i="1"/>
  <c r="E161" i="1"/>
  <c r="B170" i="1"/>
  <c r="F158" i="1"/>
  <c r="B171" i="1" l="1"/>
  <c r="A173" i="1"/>
  <c r="E162" i="1"/>
  <c r="F159" i="1"/>
  <c r="M173" i="3"/>
  <c r="L174" i="3"/>
  <c r="A174" i="1" l="1"/>
  <c r="E163" i="1"/>
  <c r="F160" i="1"/>
  <c r="M174" i="3"/>
  <c r="L175" i="3"/>
  <c r="B172" i="1"/>
  <c r="A175" i="1" l="1"/>
  <c r="B173" i="1"/>
  <c r="E164" i="1"/>
  <c r="F161" i="1"/>
  <c r="M175" i="3"/>
  <c r="B174" i="1" s="1"/>
  <c r="L176" i="3"/>
  <c r="A176" i="1" l="1"/>
  <c r="E165" i="1"/>
  <c r="F162" i="1"/>
  <c r="M176" i="3"/>
  <c r="L177" i="3"/>
  <c r="A177" i="1" l="1"/>
  <c r="B175" i="1"/>
  <c r="E166" i="1"/>
  <c r="F163" i="1"/>
  <c r="L178" i="3"/>
  <c r="M177" i="3"/>
  <c r="A178" i="1" l="1"/>
  <c r="E167" i="1"/>
  <c r="F164" i="1"/>
  <c r="B176" i="1"/>
  <c r="M178" i="3"/>
  <c r="L179" i="3"/>
  <c r="B177" i="1"/>
  <c r="A179" i="1" l="1"/>
  <c r="E168" i="1"/>
  <c r="F165" i="1"/>
  <c r="L180" i="3"/>
  <c r="M179" i="3"/>
  <c r="M180" i="3" l="1"/>
  <c r="L181" i="3"/>
  <c r="A180" i="1"/>
  <c r="E169" i="1"/>
  <c r="B178" i="1"/>
  <c r="F166" i="1"/>
  <c r="L182" i="3" l="1"/>
  <c r="M181" i="3"/>
  <c r="B180" i="1"/>
  <c r="A181" i="1"/>
  <c r="B179" i="1"/>
  <c r="E170" i="1"/>
  <c r="F167" i="1"/>
  <c r="A182" i="1" l="1"/>
  <c r="E171" i="1"/>
  <c r="F168" i="1"/>
  <c r="M182" i="3"/>
  <c r="L183" i="3"/>
  <c r="B181" i="1" l="1"/>
  <c r="A183" i="1"/>
  <c r="E172" i="1"/>
  <c r="F169" i="1"/>
  <c r="L184" i="3"/>
  <c r="M183" i="3"/>
  <c r="M184" i="3" l="1"/>
  <c r="L185" i="3"/>
  <c r="A184" i="1"/>
  <c r="E173" i="1"/>
  <c r="F170" i="1"/>
  <c r="B182" i="1"/>
  <c r="L186" i="3" l="1"/>
  <c r="M185" i="3"/>
  <c r="B184" i="1" s="1"/>
  <c r="B183" i="1"/>
  <c r="A185" i="1"/>
  <c r="E174" i="1"/>
  <c r="F171" i="1"/>
  <c r="M186" i="3" l="1"/>
  <c r="L187" i="3"/>
  <c r="A186" i="1"/>
  <c r="E175" i="1"/>
  <c r="F172" i="1"/>
  <c r="A187" i="1" l="1"/>
  <c r="E176" i="1"/>
  <c r="F173" i="1"/>
  <c r="B185" i="1"/>
  <c r="M187" i="3"/>
  <c r="L188" i="3"/>
  <c r="L189" i="3" l="1"/>
  <c r="M188" i="3"/>
  <c r="A188" i="1"/>
  <c r="E177" i="1"/>
  <c r="B186" i="1"/>
  <c r="F174" i="1"/>
  <c r="A189" i="1" l="1"/>
  <c r="B187" i="1"/>
  <c r="E178" i="1"/>
  <c r="F175" i="1"/>
  <c r="L190" i="3"/>
  <c r="M189" i="3"/>
  <c r="B188" i="1" s="1"/>
  <c r="M190" i="3" l="1"/>
  <c r="L191" i="3"/>
  <c r="A190" i="1"/>
  <c r="E179" i="1"/>
  <c r="F176" i="1"/>
  <c r="M191" i="3" l="1"/>
  <c r="B190" i="1" s="1"/>
  <c r="L192" i="3"/>
  <c r="A191" i="1"/>
  <c r="B189" i="1"/>
  <c r="E180" i="1"/>
  <c r="F177" i="1"/>
  <c r="M192" i="3" l="1"/>
  <c r="L193" i="3"/>
  <c r="A192" i="1"/>
  <c r="E181" i="1"/>
  <c r="F178" i="1"/>
  <c r="M193" i="3" l="1"/>
  <c r="L194" i="3"/>
  <c r="A193" i="1"/>
  <c r="B191" i="1"/>
  <c r="E182" i="1"/>
  <c r="F179" i="1"/>
  <c r="M194" i="3" l="1"/>
  <c r="L195" i="3"/>
  <c r="A194" i="1"/>
  <c r="E183" i="1"/>
  <c r="F180" i="1"/>
  <c r="B192" i="1"/>
  <c r="L196" i="3" l="1"/>
  <c r="M195" i="3"/>
  <c r="A195" i="1"/>
  <c r="B193" i="1"/>
  <c r="E184" i="1"/>
  <c r="F181" i="1"/>
  <c r="L197" i="3" l="1"/>
  <c r="M196" i="3"/>
  <c r="A196" i="1"/>
  <c r="E185" i="1"/>
  <c r="B194" i="1"/>
  <c r="F182" i="1"/>
  <c r="A197" i="1" l="1"/>
  <c r="B195" i="1"/>
  <c r="E186" i="1"/>
  <c r="F183" i="1"/>
  <c r="M197" i="3"/>
  <c r="L198" i="3"/>
  <c r="A198" i="1" l="1"/>
  <c r="E187" i="1"/>
  <c r="F184" i="1"/>
  <c r="B196" i="1"/>
  <c r="M198" i="3"/>
  <c r="L199" i="3"/>
  <c r="A199" i="1" l="1"/>
  <c r="B197" i="1"/>
  <c r="E188" i="1"/>
  <c r="F185" i="1"/>
  <c r="M199" i="3"/>
  <c r="B198" i="1" s="1"/>
  <c r="L200" i="3"/>
  <c r="A200" i="1" l="1"/>
  <c r="E189" i="1"/>
  <c r="F186" i="1"/>
  <c r="M200" i="3"/>
  <c r="L201" i="3"/>
  <c r="M201" i="3" l="1"/>
  <c r="L202" i="3"/>
  <c r="B200" i="1"/>
  <c r="A201" i="1"/>
  <c r="B199" i="1"/>
  <c r="E190" i="1"/>
  <c r="F187" i="1"/>
  <c r="L203" i="3" l="1"/>
  <c r="M202" i="3"/>
  <c r="A202" i="1"/>
  <c r="E191" i="1"/>
  <c r="F188" i="1"/>
  <c r="A203" i="1" l="1"/>
  <c r="B201" i="1"/>
  <c r="E192" i="1"/>
  <c r="F189" i="1"/>
  <c r="M203" i="3"/>
  <c r="L204" i="3"/>
  <c r="A204" i="1" l="1"/>
  <c r="E193" i="1"/>
  <c r="B202" i="1"/>
  <c r="F190" i="1"/>
  <c r="L205" i="3"/>
  <c r="M204" i="3"/>
  <c r="M205" i="3" l="1"/>
  <c r="B204" i="1" s="1"/>
  <c r="L206" i="3"/>
  <c r="A205" i="1"/>
  <c r="B203" i="1"/>
  <c r="E194" i="1"/>
  <c r="F191" i="1"/>
  <c r="M206" i="3" l="1"/>
  <c r="L207" i="3"/>
  <c r="A206" i="1"/>
  <c r="E195" i="1"/>
  <c r="F192" i="1"/>
  <c r="M207" i="3" l="1"/>
  <c r="L208" i="3"/>
  <c r="B206" i="1"/>
  <c r="A207" i="1"/>
  <c r="B205" i="1"/>
  <c r="E196" i="1"/>
  <c r="F193" i="1"/>
  <c r="M208" i="3" l="1"/>
  <c r="L209" i="3"/>
  <c r="A208" i="1"/>
  <c r="E197" i="1"/>
  <c r="F194" i="1"/>
  <c r="L210" i="3" l="1"/>
  <c r="M209" i="3"/>
  <c r="A209" i="1"/>
  <c r="B207" i="1"/>
  <c r="E198" i="1"/>
  <c r="F195" i="1"/>
  <c r="A210" i="1" l="1"/>
  <c r="E199" i="1"/>
  <c r="F196" i="1"/>
  <c r="M210" i="3"/>
  <c r="L211" i="3"/>
  <c r="B208" i="1"/>
  <c r="L212" i="3" l="1"/>
  <c r="M211" i="3"/>
  <c r="B209" i="1"/>
  <c r="A211" i="1"/>
  <c r="E200" i="1"/>
  <c r="F197" i="1"/>
  <c r="M212" i="3" l="1"/>
  <c r="L213" i="3"/>
  <c r="A212" i="1"/>
  <c r="E201" i="1"/>
  <c r="B210" i="1"/>
  <c r="F198" i="1"/>
  <c r="L214" i="3" l="1"/>
  <c r="M213" i="3"/>
  <c r="B211" i="1"/>
  <c r="A213" i="1"/>
  <c r="E202" i="1"/>
  <c r="F199" i="1"/>
  <c r="M214" i="3" l="1"/>
  <c r="L215" i="3"/>
  <c r="A214" i="1"/>
  <c r="E203" i="1"/>
  <c r="F200" i="1"/>
  <c r="B212" i="1"/>
  <c r="L216" i="3" l="1"/>
  <c r="M215" i="3"/>
  <c r="A215" i="1"/>
  <c r="B213" i="1"/>
  <c r="E204" i="1"/>
  <c r="F201" i="1"/>
  <c r="M216" i="3" l="1"/>
  <c r="L217" i="3"/>
  <c r="A216" i="1"/>
  <c r="E205" i="1"/>
  <c r="F202" i="1"/>
  <c r="B214" i="1"/>
  <c r="A217" i="1" l="1"/>
  <c r="B215" i="1"/>
  <c r="E206" i="1"/>
  <c r="F203" i="1"/>
  <c r="L218" i="3"/>
  <c r="M217" i="3"/>
  <c r="B216" i="1" s="1"/>
  <c r="M218" i="3" l="1"/>
  <c r="L219" i="3"/>
  <c r="A218" i="1"/>
  <c r="E207" i="1"/>
  <c r="F204" i="1"/>
  <c r="A219" i="1" l="1"/>
  <c r="B217" i="1"/>
  <c r="E208" i="1"/>
  <c r="F205" i="1"/>
  <c r="L220" i="3"/>
  <c r="M219" i="3"/>
  <c r="A220" i="1" l="1"/>
  <c r="E209" i="1"/>
  <c r="B218" i="1"/>
  <c r="F206" i="1"/>
  <c r="M220" i="3"/>
  <c r="L221" i="3"/>
  <c r="L222" i="3" l="1"/>
  <c r="M221" i="3"/>
  <c r="A221" i="1"/>
  <c r="B219" i="1"/>
  <c r="E210" i="1"/>
  <c r="F207" i="1"/>
  <c r="B220" i="1"/>
  <c r="A222" i="1" l="1"/>
  <c r="E211" i="1"/>
  <c r="F208" i="1"/>
  <c r="M222" i="3"/>
  <c r="L223" i="3"/>
  <c r="A223" i="1" l="1"/>
  <c r="B221" i="1"/>
  <c r="E212" i="1"/>
  <c r="F209" i="1"/>
  <c r="L224" i="3"/>
  <c r="M223" i="3"/>
  <c r="A224" i="1" l="1"/>
  <c r="E213" i="1"/>
  <c r="F210" i="1"/>
  <c r="M224" i="3"/>
  <c r="L225" i="3"/>
  <c r="B222" i="1"/>
  <c r="A225" i="1" l="1"/>
  <c r="B223" i="1"/>
  <c r="E214" i="1"/>
  <c r="F211" i="1"/>
  <c r="L226" i="3"/>
  <c r="M225" i="3"/>
  <c r="B224" i="1" s="1"/>
  <c r="M226" i="3" l="1"/>
  <c r="L227" i="3"/>
  <c r="A226" i="1"/>
  <c r="E215" i="1"/>
  <c r="F212" i="1"/>
  <c r="M227" i="3" l="1"/>
  <c r="L228" i="3"/>
  <c r="B225" i="1"/>
  <c r="A227" i="1"/>
  <c r="E216" i="1"/>
  <c r="F213" i="1"/>
  <c r="M228" i="3" l="1"/>
  <c r="L229" i="3"/>
  <c r="A228" i="1"/>
  <c r="E217" i="1"/>
  <c r="B226" i="1"/>
  <c r="F214" i="1"/>
  <c r="M229" i="3" l="1"/>
  <c r="B228" i="1" s="1"/>
  <c r="L230" i="3"/>
  <c r="B227" i="1"/>
  <c r="A229" i="1"/>
  <c r="E218" i="1"/>
  <c r="F215" i="1"/>
  <c r="L231" i="3" l="1"/>
  <c r="M230" i="3"/>
  <c r="A230" i="1"/>
  <c r="E219" i="1"/>
  <c r="F216" i="1"/>
  <c r="B229" i="1" l="1"/>
  <c r="A231" i="1"/>
  <c r="E220" i="1"/>
  <c r="F217" i="1"/>
  <c r="M231" i="3"/>
  <c r="B230" i="1" s="1"/>
  <c r="L232" i="3"/>
  <c r="L233" i="3" l="1"/>
  <c r="M232" i="3"/>
  <c r="A232" i="1"/>
  <c r="E221" i="1"/>
  <c r="F218" i="1"/>
  <c r="B231" i="1" l="1"/>
  <c r="A233" i="1"/>
  <c r="E222" i="1"/>
  <c r="F219" i="1"/>
  <c r="M233" i="3"/>
  <c r="B232" i="1" s="1"/>
  <c r="L234" i="3"/>
  <c r="M234" i="3" l="1"/>
  <c r="L235" i="3"/>
  <c r="A234" i="1"/>
  <c r="E223" i="1"/>
  <c r="F220" i="1"/>
  <c r="M235" i="3" l="1"/>
  <c r="L236" i="3"/>
  <c r="B233" i="1"/>
  <c r="A235" i="1"/>
  <c r="E224" i="1"/>
  <c r="F221" i="1"/>
  <c r="M236" i="3" l="1"/>
  <c r="L237" i="3"/>
  <c r="A236" i="1"/>
  <c r="E225" i="1"/>
  <c r="B234" i="1"/>
  <c r="F222" i="1"/>
  <c r="L238" i="3" l="1"/>
  <c r="M237" i="3"/>
  <c r="A237" i="1"/>
  <c r="B235" i="1"/>
  <c r="E226" i="1"/>
  <c r="F223" i="1"/>
  <c r="B236" i="1"/>
  <c r="A238" i="1" l="1"/>
  <c r="E227" i="1"/>
  <c r="F224" i="1"/>
  <c r="M238" i="3"/>
  <c r="L239" i="3"/>
  <c r="L240" i="3" l="1"/>
  <c r="M239" i="3"/>
  <c r="B238" i="1"/>
  <c r="A239" i="1"/>
  <c r="B237" i="1"/>
  <c r="E228" i="1"/>
  <c r="F225" i="1"/>
  <c r="A240" i="1" l="1"/>
  <c r="E229" i="1"/>
  <c r="F226" i="1"/>
  <c r="M240" i="3"/>
  <c r="L241" i="3"/>
  <c r="A241" i="1" l="1"/>
  <c r="B239" i="1"/>
  <c r="E230" i="1"/>
  <c r="F227" i="1"/>
  <c r="L242" i="3"/>
  <c r="M241" i="3"/>
  <c r="A242" i="1" l="1"/>
  <c r="E231" i="1"/>
  <c r="F228" i="1"/>
  <c r="B240" i="1"/>
  <c r="M242" i="3"/>
  <c r="L243" i="3"/>
  <c r="L244" i="3" l="1"/>
  <c r="M243" i="3"/>
  <c r="A243" i="1"/>
  <c r="B241" i="1"/>
  <c r="E232" i="1"/>
  <c r="F229" i="1"/>
  <c r="A244" i="1" l="1"/>
  <c r="E233" i="1"/>
  <c r="B242" i="1"/>
  <c r="F230" i="1"/>
  <c r="M244" i="3"/>
  <c r="L245" i="3"/>
  <c r="L246" i="3" l="1"/>
  <c r="M245" i="3"/>
  <c r="A245" i="1"/>
  <c r="B243" i="1"/>
  <c r="E234" i="1"/>
  <c r="F231" i="1"/>
  <c r="B244" i="1"/>
  <c r="A246" i="1" l="1"/>
  <c r="E235" i="1"/>
  <c r="F232" i="1"/>
  <c r="M246" i="3"/>
  <c r="L247" i="3"/>
  <c r="A247" i="1" l="1"/>
  <c r="B245" i="1"/>
  <c r="E236" i="1"/>
  <c r="F233" i="1"/>
  <c r="L248" i="3"/>
  <c r="M247" i="3"/>
  <c r="M248" i="3" l="1"/>
  <c r="L249" i="3"/>
  <c r="A248" i="1"/>
  <c r="E237" i="1"/>
  <c r="F234" i="1"/>
  <c r="B246" i="1"/>
  <c r="M249" i="3" l="1"/>
  <c r="L250" i="3"/>
  <c r="B248" i="1"/>
  <c r="B247" i="1"/>
  <c r="A249" i="1"/>
  <c r="E238" i="1"/>
  <c r="F235" i="1"/>
  <c r="M250" i="3" l="1"/>
  <c r="L251" i="3"/>
  <c r="A250" i="1"/>
  <c r="E239" i="1"/>
  <c r="F236" i="1"/>
  <c r="M251" i="3" l="1"/>
  <c r="L252" i="3"/>
  <c r="B250" i="1"/>
  <c r="B249" i="1"/>
  <c r="A251" i="1"/>
  <c r="E240" i="1"/>
  <c r="F237" i="1"/>
  <c r="L253" i="3" l="1"/>
  <c r="M252" i="3"/>
  <c r="A252" i="1"/>
  <c r="E241" i="1"/>
  <c r="F238" i="1"/>
  <c r="A253" i="1" l="1"/>
  <c r="B251" i="1"/>
  <c r="E242" i="1"/>
  <c r="F239" i="1"/>
  <c r="M253" i="3"/>
  <c r="L254" i="3"/>
  <c r="A254" i="1" l="1"/>
  <c r="E243" i="1"/>
  <c r="F240" i="1"/>
  <c r="L255" i="3"/>
  <c r="M254" i="3"/>
  <c r="B252" i="1"/>
  <c r="A255" i="1" l="1"/>
  <c r="B253" i="1"/>
  <c r="E244" i="1"/>
  <c r="F241" i="1"/>
  <c r="M255" i="3"/>
  <c r="L256" i="3"/>
  <c r="B254" i="1"/>
  <c r="M256" i="3" l="1"/>
  <c r="L257" i="3"/>
  <c r="A256" i="1"/>
  <c r="E245" i="1"/>
  <c r="F242" i="1"/>
  <c r="M257" i="3" l="1"/>
  <c r="L258" i="3"/>
  <c r="A257" i="1"/>
  <c r="B255" i="1"/>
  <c r="E246" i="1"/>
  <c r="F243" i="1"/>
  <c r="B256" i="1"/>
  <c r="M258" i="3" l="1"/>
  <c r="L259" i="3"/>
  <c r="A258" i="1"/>
  <c r="E247" i="1"/>
  <c r="F244" i="1"/>
  <c r="L260" i="3" l="1"/>
  <c r="M259" i="3"/>
  <c r="A259" i="1"/>
  <c r="B257" i="1"/>
  <c r="E248" i="1"/>
  <c r="F245" i="1"/>
  <c r="A260" i="1" l="1"/>
  <c r="E249" i="1"/>
  <c r="B258" i="1"/>
  <c r="F246" i="1"/>
  <c r="M260" i="3"/>
  <c r="L261" i="3"/>
  <c r="B259" i="1" l="1"/>
  <c r="A261" i="1"/>
  <c r="E250" i="1"/>
  <c r="F247" i="1"/>
  <c r="L262" i="3"/>
  <c r="M261" i="3"/>
  <c r="A262" i="1" l="1"/>
  <c r="E251" i="1"/>
  <c r="F248" i="1"/>
  <c r="M262" i="3"/>
  <c r="L263" i="3"/>
  <c r="B260" i="1"/>
  <c r="A263" i="1" l="1"/>
  <c r="B261" i="1"/>
  <c r="E252" i="1"/>
  <c r="F249" i="1"/>
  <c r="L264" i="3"/>
  <c r="M263" i="3"/>
  <c r="B262" i="1" s="1"/>
  <c r="A264" i="1" l="1"/>
  <c r="E253" i="1"/>
  <c r="F250" i="1"/>
  <c r="M264" i="3"/>
  <c r="L265" i="3"/>
  <c r="A265" i="1" l="1"/>
  <c r="B263" i="1"/>
  <c r="E254" i="1"/>
  <c r="F251" i="1"/>
  <c r="M265" i="3"/>
  <c r="L266" i="3"/>
  <c r="B264" i="1"/>
  <c r="A266" i="1" l="1"/>
  <c r="E255" i="1"/>
  <c r="F252" i="1"/>
  <c r="M266" i="3"/>
  <c r="L267" i="3"/>
  <c r="M267" i="3" l="1"/>
  <c r="L268" i="3"/>
  <c r="A267" i="1"/>
  <c r="B265" i="1"/>
  <c r="E256" i="1"/>
  <c r="F253" i="1"/>
  <c r="L269" i="3" l="1"/>
  <c r="M268" i="3"/>
  <c r="A268" i="1"/>
  <c r="E257" i="1"/>
  <c r="B266" i="1"/>
  <c r="F254" i="1"/>
  <c r="A269" i="1" l="1"/>
  <c r="B267" i="1"/>
  <c r="E258" i="1"/>
  <c r="F255" i="1"/>
  <c r="M269" i="3"/>
  <c r="L270" i="3"/>
  <c r="B268" i="1"/>
  <c r="L271" i="3" l="1"/>
  <c r="M270" i="3"/>
  <c r="A270" i="1"/>
  <c r="E259" i="1"/>
  <c r="F256" i="1"/>
  <c r="A271" i="1" l="1"/>
  <c r="B269" i="1"/>
  <c r="E260" i="1"/>
  <c r="F257" i="1"/>
  <c r="M271" i="3"/>
  <c r="L272" i="3"/>
  <c r="A272" i="1" l="1"/>
  <c r="E261" i="1"/>
  <c r="F258" i="1"/>
  <c r="L273" i="3"/>
  <c r="M272" i="3"/>
  <c r="B270" i="1"/>
  <c r="A273" i="1" l="1"/>
  <c r="E262" i="1"/>
  <c r="F259" i="1"/>
  <c r="B271" i="1"/>
  <c r="M273" i="3"/>
  <c r="L274" i="3"/>
  <c r="B272" i="1"/>
  <c r="L275" i="3" l="1"/>
  <c r="M274" i="3"/>
  <c r="A274" i="1"/>
  <c r="E263" i="1"/>
  <c r="F260" i="1"/>
  <c r="B273" i="1" l="1"/>
  <c r="A275" i="1"/>
  <c r="E264" i="1"/>
  <c r="F261" i="1"/>
  <c r="M275" i="3"/>
  <c r="L276" i="3"/>
  <c r="A276" i="1" l="1"/>
  <c r="B274" i="1"/>
  <c r="E265" i="1"/>
  <c r="F262" i="1"/>
  <c r="L277" i="3"/>
  <c r="M276" i="3"/>
  <c r="M277" i="3" l="1"/>
  <c r="L278" i="3"/>
  <c r="B275" i="1"/>
  <c r="A277" i="1"/>
  <c r="E266" i="1"/>
  <c r="F263" i="1"/>
  <c r="B276" i="1"/>
  <c r="L279" i="3" l="1"/>
  <c r="M278" i="3"/>
  <c r="A278" i="1"/>
  <c r="E267" i="1"/>
  <c r="F264" i="1"/>
  <c r="M279" i="3" l="1"/>
  <c r="L280" i="3"/>
  <c r="B278" i="1"/>
  <c r="A279" i="1"/>
  <c r="B277" i="1"/>
  <c r="E268" i="1"/>
  <c r="F265" i="1"/>
  <c r="M280" i="3" l="1"/>
  <c r="L281" i="3"/>
  <c r="A280" i="1"/>
  <c r="E269" i="1"/>
  <c r="F266" i="1"/>
  <c r="M281" i="3" l="1"/>
  <c r="L282" i="3"/>
  <c r="B280" i="1"/>
  <c r="A281" i="1"/>
  <c r="E270" i="1"/>
  <c r="F267" i="1"/>
  <c r="B279" i="1"/>
  <c r="M282" i="3" l="1"/>
  <c r="L283" i="3"/>
  <c r="A282" i="1"/>
  <c r="E271" i="1"/>
  <c r="F268" i="1"/>
  <c r="B281" i="1" l="1"/>
  <c r="A283" i="1"/>
  <c r="E272" i="1"/>
  <c r="F269" i="1"/>
  <c r="M283" i="3"/>
  <c r="L284" i="3"/>
  <c r="B282" i="1" l="1"/>
  <c r="A284" i="1"/>
  <c r="E273" i="1"/>
  <c r="F270" i="1"/>
  <c r="M284" i="3"/>
  <c r="L285" i="3"/>
  <c r="A285" i="1" l="1"/>
  <c r="B283" i="1"/>
  <c r="E274" i="1"/>
  <c r="F271" i="1"/>
  <c r="L286" i="3"/>
  <c r="M285" i="3"/>
  <c r="B284" i="1"/>
  <c r="M286" i="3" l="1"/>
  <c r="L287" i="3"/>
  <c r="A286" i="1"/>
  <c r="E275" i="1"/>
  <c r="F272" i="1"/>
  <c r="A287" i="1" l="1"/>
  <c r="B285" i="1"/>
  <c r="E276" i="1"/>
  <c r="F273" i="1"/>
  <c r="M287" i="3"/>
  <c r="B286" i="1" s="1"/>
  <c r="L288" i="3"/>
  <c r="L289" i="3" l="1"/>
  <c r="M288" i="3"/>
  <c r="A288" i="1"/>
  <c r="E277" i="1"/>
  <c r="F274" i="1"/>
  <c r="A289" i="1" l="1"/>
  <c r="B287" i="1"/>
  <c r="E278" i="1"/>
  <c r="F275" i="1"/>
  <c r="M289" i="3"/>
  <c r="L290" i="3"/>
  <c r="A290" i="1" l="1"/>
  <c r="E279" i="1"/>
  <c r="F276" i="1"/>
  <c r="B288" i="1"/>
  <c r="L291" i="3"/>
  <c r="M290" i="3"/>
  <c r="M291" i="3" l="1"/>
  <c r="L292" i="3"/>
  <c r="B289" i="1"/>
  <c r="A291" i="1"/>
  <c r="E280" i="1"/>
  <c r="F277" i="1"/>
  <c r="M292" i="3" l="1"/>
  <c r="L293" i="3"/>
  <c r="A292" i="1"/>
  <c r="E281" i="1"/>
  <c r="B290" i="1"/>
  <c r="F278" i="1"/>
  <c r="M293" i="3" l="1"/>
  <c r="L294" i="3"/>
  <c r="B291" i="1"/>
  <c r="A293" i="1"/>
  <c r="E282" i="1"/>
  <c r="F279" i="1"/>
  <c r="B292" i="1"/>
  <c r="L295" i="3" l="1"/>
  <c r="M294" i="3"/>
  <c r="A294" i="1"/>
  <c r="E283" i="1"/>
  <c r="F280" i="1"/>
  <c r="A295" i="1" l="1"/>
  <c r="B293" i="1"/>
  <c r="E284" i="1"/>
  <c r="F281" i="1"/>
  <c r="M295" i="3"/>
  <c r="L296" i="3"/>
  <c r="L297" i="3" l="1"/>
  <c r="M296" i="3"/>
  <c r="A296" i="1"/>
  <c r="E285" i="1"/>
  <c r="F282" i="1"/>
  <c r="B294" i="1"/>
  <c r="A297" i="1" l="1"/>
  <c r="B295" i="1"/>
  <c r="E286" i="1"/>
  <c r="F283" i="1"/>
  <c r="M297" i="3"/>
  <c r="L298" i="3"/>
  <c r="A298" i="1" l="1"/>
  <c r="E287" i="1"/>
  <c r="F284" i="1"/>
  <c r="B296" i="1"/>
  <c r="M298" i="3"/>
  <c r="L299" i="3"/>
  <c r="M299" i="3" l="1"/>
  <c r="L300" i="3"/>
  <c r="B297" i="1"/>
  <c r="A299" i="1"/>
  <c r="E288" i="1"/>
  <c r="F285" i="1"/>
  <c r="M300" i="3" l="1"/>
  <c r="L301" i="3"/>
  <c r="A300" i="1"/>
  <c r="E289" i="1"/>
  <c r="B298" i="1"/>
  <c r="F286" i="1"/>
  <c r="L302" i="3" l="1"/>
  <c r="M301" i="3"/>
  <c r="B299" i="1"/>
  <c r="A301" i="1"/>
  <c r="E290" i="1"/>
  <c r="F287" i="1"/>
  <c r="M302" i="3" l="1"/>
  <c r="L303" i="3"/>
  <c r="A302" i="1"/>
  <c r="E291" i="1"/>
  <c r="F288" i="1"/>
  <c r="B300" i="1"/>
  <c r="L304" i="3" l="1"/>
  <c r="M303" i="3"/>
  <c r="B301" i="1"/>
  <c r="A303" i="1"/>
  <c r="E292" i="1"/>
  <c r="F289" i="1"/>
  <c r="M304" i="3" l="1"/>
  <c r="L305" i="3"/>
  <c r="A304" i="1"/>
  <c r="E293" i="1"/>
  <c r="F290" i="1"/>
  <c r="B302" i="1"/>
  <c r="L306" i="3" l="1"/>
  <c r="M305" i="3"/>
  <c r="A305" i="1"/>
  <c r="E294" i="1"/>
  <c r="B303" i="1"/>
  <c r="F291" i="1"/>
  <c r="A306" i="1" l="1"/>
  <c r="E295" i="1"/>
  <c r="F292" i="1"/>
  <c r="M306" i="3"/>
  <c r="L307" i="3"/>
  <c r="B304" i="1"/>
  <c r="L308" i="3" l="1"/>
  <c r="M307" i="3"/>
  <c r="B305" i="1"/>
  <c r="A307" i="1"/>
  <c r="E296" i="1"/>
  <c r="F293" i="1"/>
  <c r="B306" i="1" l="1"/>
  <c r="A308" i="1"/>
  <c r="E297" i="1"/>
  <c r="F294" i="1"/>
  <c r="M308" i="3"/>
  <c r="L309" i="3"/>
  <c r="L310" i="3" l="1"/>
  <c r="M309" i="3"/>
  <c r="B308" i="1"/>
  <c r="B307" i="1"/>
  <c r="A309" i="1"/>
  <c r="E298" i="1"/>
  <c r="F295" i="1"/>
  <c r="A310" i="1" l="1"/>
  <c r="E299" i="1"/>
  <c r="F296" i="1"/>
  <c r="M310" i="3"/>
  <c r="L311" i="3"/>
  <c r="B309" i="1" l="1"/>
  <c r="A311" i="1"/>
  <c r="E300" i="1"/>
  <c r="F297" i="1"/>
  <c r="L312" i="3"/>
  <c r="M311" i="3"/>
  <c r="M312" i="3" l="1"/>
  <c r="L313" i="3"/>
  <c r="A312" i="1"/>
  <c r="E301" i="1"/>
  <c r="F298" i="1"/>
  <c r="B311" i="1"/>
  <c r="B310" i="1"/>
  <c r="L314" i="3" l="1"/>
  <c r="M313" i="3"/>
  <c r="A313" i="1"/>
  <c r="E302" i="1"/>
  <c r="F299" i="1"/>
  <c r="A314" i="1" l="1"/>
  <c r="E303" i="1"/>
  <c r="F300" i="1"/>
  <c r="B312" i="1"/>
  <c r="M314" i="3"/>
  <c r="L315" i="3"/>
  <c r="A315" i="1" l="1"/>
  <c r="B313" i="1"/>
  <c r="E304" i="1"/>
  <c r="F301" i="1"/>
  <c r="L316" i="3"/>
  <c r="M315" i="3"/>
  <c r="B314" i="1" l="1"/>
  <c r="A316" i="1"/>
  <c r="E305" i="1"/>
  <c r="F302" i="1"/>
  <c r="M316" i="3"/>
  <c r="L317" i="3"/>
  <c r="M317" i="3" l="1"/>
  <c r="L318" i="3"/>
  <c r="B315" i="1"/>
  <c r="A317" i="1"/>
  <c r="E306" i="1"/>
  <c r="F303" i="1"/>
  <c r="M318" i="3" l="1"/>
  <c r="L319" i="3"/>
  <c r="A318" i="1"/>
  <c r="E307" i="1"/>
  <c r="B316" i="1"/>
  <c r="F304" i="1"/>
  <c r="L320" i="3" l="1"/>
  <c r="M319" i="3"/>
  <c r="A319" i="1"/>
  <c r="B317" i="1"/>
  <c r="E308" i="1"/>
  <c r="F305" i="1"/>
  <c r="M320" i="3" l="1"/>
  <c r="L321" i="3"/>
  <c r="A320" i="1"/>
  <c r="E309" i="1"/>
  <c r="B318" i="1"/>
  <c r="F306" i="1"/>
  <c r="L322" i="3" l="1"/>
  <c r="M321" i="3"/>
  <c r="A321" i="1"/>
  <c r="B319" i="1"/>
  <c r="E310" i="1"/>
  <c r="F307" i="1"/>
  <c r="M322" i="3" l="1"/>
  <c r="L323" i="3"/>
  <c r="A322" i="1"/>
  <c r="E311" i="1"/>
  <c r="B320" i="1"/>
  <c r="F308" i="1"/>
  <c r="L324" i="3" l="1"/>
  <c r="M323" i="3"/>
  <c r="A323" i="1"/>
  <c r="B321" i="1"/>
  <c r="E312" i="1"/>
  <c r="F309" i="1"/>
  <c r="A324" i="1" l="1"/>
  <c r="E313" i="1"/>
  <c r="B322" i="1"/>
  <c r="F310" i="1"/>
  <c r="M324" i="3"/>
  <c r="L325" i="3"/>
  <c r="L326" i="3" l="1"/>
  <c r="M325" i="3"/>
  <c r="B323" i="1"/>
  <c r="A325" i="1"/>
  <c r="E314" i="1"/>
  <c r="F311" i="1"/>
  <c r="B324" i="1"/>
  <c r="A326" i="1" l="1"/>
  <c r="E315" i="1"/>
  <c r="F312" i="1"/>
  <c r="M326" i="3"/>
  <c r="L327" i="3"/>
  <c r="L328" i="3" l="1"/>
  <c r="M327" i="3"/>
  <c r="A327" i="1"/>
  <c r="B325" i="1"/>
  <c r="E316" i="1"/>
  <c r="F313" i="1"/>
  <c r="M328" i="3" l="1"/>
  <c r="L329" i="3"/>
  <c r="A328" i="1"/>
  <c r="E317" i="1"/>
  <c r="F314" i="1"/>
  <c r="B326" i="1"/>
  <c r="L330" i="3" l="1"/>
  <c r="M329" i="3"/>
  <c r="A329" i="1"/>
  <c r="B327" i="1"/>
  <c r="E318" i="1"/>
  <c r="F315" i="1"/>
  <c r="B328" i="1"/>
  <c r="A330" i="1" l="1"/>
  <c r="E319" i="1"/>
  <c r="F316" i="1"/>
  <c r="M330" i="3"/>
  <c r="L331" i="3"/>
  <c r="A331" i="1" l="1"/>
  <c r="B329" i="1"/>
  <c r="E320" i="1"/>
  <c r="F317" i="1"/>
  <c r="M331" i="3"/>
  <c r="L332" i="3"/>
  <c r="A332" i="1" l="1"/>
  <c r="E321" i="1"/>
  <c r="B330" i="1"/>
  <c r="F318" i="1"/>
  <c r="M332" i="3"/>
  <c r="L333" i="3"/>
  <c r="A333" i="1" l="1"/>
  <c r="B331" i="1"/>
  <c r="E322" i="1"/>
  <c r="F319" i="1"/>
  <c r="M333" i="3"/>
  <c r="B332" i="1" s="1"/>
  <c r="L334" i="3"/>
  <c r="L335" i="3" l="1"/>
  <c r="M334" i="3"/>
  <c r="A334" i="1"/>
  <c r="E323" i="1"/>
  <c r="F320" i="1"/>
  <c r="A335" i="1" l="1"/>
  <c r="B333" i="1"/>
  <c r="E324" i="1"/>
  <c r="F321" i="1"/>
  <c r="M335" i="3"/>
  <c r="L336" i="3"/>
  <c r="B334" i="1"/>
  <c r="L337" i="3" l="1"/>
  <c r="M336" i="3"/>
  <c r="A336" i="1"/>
  <c r="E325" i="1"/>
  <c r="F322" i="1"/>
  <c r="A337" i="1" l="1"/>
  <c r="E326" i="1"/>
  <c r="B335" i="1"/>
  <c r="F323" i="1"/>
  <c r="M337" i="3"/>
  <c r="L338" i="3"/>
  <c r="L339" i="3" l="1"/>
  <c r="M338" i="3"/>
  <c r="A338" i="1"/>
  <c r="E327" i="1"/>
  <c r="F324" i="1"/>
  <c r="B336" i="1"/>
  <c r="A339" i="1" l="1"/>
  <c r="E328" i="1"/>
  <c r="B337" i="1"/>
  <c r="F325" i="1"/>
  <c r="M339" i="3"/>
  <c r="L340" i="3"/>
  <c r="L341" i="3" l="1"/>
  <c r="M340" i="3"/>
  <c r="B338" i="1"/>
  <c r="A340" i="1"/>
  <c r="E329" i="1"/>
  <c r="F326" i="1"/>
  <c r="B339" i="1" l="1"/>
  <c r="A341" i="1"/>
  <c r="E330" i="1"/>
  <c r="F327" i="1"/>
  <c r="M341" i="3"/>
  <c r="L342" i="3"/>
  <c r="L343" i="3" l="1"/>
  <c r="M342" i="3"/>
  <c r="B340" i="1"/>
  <c r="A342" i="1"/>
  <c r="E331" i="1"/>
  <c r="F328" i="1"/>
  <c r="B341" i="1" l="1"/>
  <c r="A343" i="1"/>
  <c r="E332" i="1"/>
  <c r="F329" i="1"/>
  <c r="M343" i="3"/>
  <c r="L344" i="3"/>
  <c r="L345" i="3" l="1"/>
  <c r="M344" i="3"/>
  <c r="B342" i="1"/>
  <c r="A344" i="1"/>
  <c r="E333" i="1"/>
  <c r="F330" i="1"/>
  <c r="M345" i="3" l="1"/>
  <c r="L346" i="3"/>
  <c r="A345" i="1"/>
  <c r="E334" i="1"/>
  <c r="B343" i="1"/>
  <c r="F331" i="1"/>
  <c r="L347" i="3" l="1"/>
  <c r="M346" i="3"/>
  <c r="A346" i="1"/>
  <c r="E335" i="1"/>
  <c r="F332" i="1"/>
  <c r="B344" i="1"/>
  <c r="A347" i="1" l="1"/>
  <c r="E336" i="1"/>
  <c r="B345" i="1"/>
  <c r="F333" i="1"/>
  <c r="M347" i="3"/>
  <c r="L348" i="3"/>
  <c r="M348" i="3" l="1"/>
  <c r="L349" i="3"/>
  <c r="A348" i="1"/>
  <c r="B346" i="1"/>
  <c r="E337" i="1"/>
  <c r="F334" i="1"/>
  <c r="M349" i="3" l="1"/>
  <c r="L350" i="3"/>
  <c r="B347" i="1"/>
  <c r="A349" i="1"/>
  <c r="E338" i="1"/>
  <c r="F335" i="1"/>
  <c r="A350" i="1" l="1"/>
  <c r="B348" i="1"/>
  <c r="E339" i="1"/>
  <c r="F336" i="1"/>
  <c r="M350" i="3"/>
  <c r="L351" i="3"/>
  <c r="B349" i="1" l="1"/>
  <c r="A351" i="1"/>
  <c r="E340" i="1"/>
  <c r="F337" i="1"/>
  <c r="M351" i="3"/>
  <c r="L352" i="3"/>
  <c r="M352" i="3" l="1"/>
  <c r="L353" i="3"/>
  <c r="A352" i="1"/>
  <c r="B350" i="1"/>
  <c r="E341" i="1"/>
  <c r="F338" i="1"/>
  <c r="M353" i="3" l="1"/>
  <c r="L354" i="3"/>
  <c r="A353" i="1"/>
  <c r="E342" i="1"/>
  <c r="B351" i="1"/>
  <c r="F339" i="1"/>
  <c r="M354" i="3" l="1"/>
  <c r="L355" i="3"/>
  <c r="A354" i="1"/>
  <c r="E343" i="1"/>
  <c r="F340" i="1"/>
  <c r="B352" i="1"/>
  <c r="M355" i="3" l="1"/>
  <c r="L356" i="3"/>
  <c r="A355" i="1"/>
  <c r="E344" i="1"/>
  <c r="B353" i="1"/>
  <c r="F341" i="1"/>
  <c r="L357" i="3" l="1"/>
  <c r="M356" i="3"/>
  <c r="B354" i="1"/>
  <c r="A356" i="1"/>
  <c r="E345" i="1"/>
  <c r="F342" i="1"/>
  <c r="B355" i="1" l="1"/>
  <c r="A357" i="1"/>
  <c r="E346" i="1"/>
  <c r="F343" i="1"/>
  <c r="M357" i="3"/>
  <c r="L358" i="3"/>
  <c r="B356" i="1" l="1"/>
  <c r="A358" i="1"/>
  <c r="E347" i="1"/>
  <c r="F344" i="1"/>
  <c r="M358" i="3"/>
  <c r="L359" i="3"/>
  <c r="M359" i="3" l="1"/>
  <c r="L360" i="3"/>
  <c r="B357" i="1"/>
  <c r="A359" i="1"/>
  <c r="E348" i="1"/>
  <c r="F345" i="1"/>
  <c r="L361" i="3" l="1"/>
  <c r="M360" i="3"/>
  <c r="A360" i="1"/>
  <c r="B358" i="1"/>
  <c r="E349" i="1"/>
  <c r="F346" i="1"/>
  <c r="M361" i="3" l="1"/>
  <c r="L362" i="3"/>
  <c r="A361" i="1"/>
  <c r="E350" i="1"/>
  <c r="B359" i="1"/>
  <c r="F347" i="1"/>
  <c r="L363" i="3" l="1"/>
  <c r="M362" i="3"/>
  <c r="A362" i="1"/>
  <c r="E351" i="1"/>
  <c r="B360" i="1"/>
  <c r="F348" i="1"/>
  <c r="A363" i="1" l="1"/>
  <c r="E352" i="1"/>
  <c r="B361" i="1"/>
  <c r="F349" i="1"/>
  <c r="M363" i="3"/>
  <c r="L364" i="3"/>
  <c r="L365" i="3" l="1"/>
  <c r="M364" i="3"/>
  <c r="B362" i="1"/>
  <c r="A364" i="1"/>
  <c r="E353" i="1"/>
  <c r="F350" i="1"/>
  <c r="B363" i="1" l="1"/>
  <c r="A365" i="1"/>
  <c r="E354" i="1"/>
  <c r="F351" i="1"/>
  <c r="M365" i="3"/>
  <c r="L366" i="3"/>
  <c r="L367" i="3" l="1"/>
  <c r="M366" i="3"/>
  <c r="B364" i="1"/>
  <c r="A366" i="1"/>
  <c r="E355" i="1"/>
  <c r="F352" i="1"/>
  <c r="B365" i="1" l="1"/>
  <c r="A367" i="1"/>
  <c r="E356" i="1"/>
  <c r="F353" i="1"/>
  <c r="M367" i="3"/>
  <c r="L368" i="3"/>
  <c r="A368" i="1" l="1"/>
  <c r="B366" i="1"/>
  <c r="E357" i="1"/>
  <c r="F354" i="1"/>
  <c r="L369" i="3"/>
  <c r="M368" i="3"/>
  <c r="A369" i="1" l="1"/>
  <c r="E358" i="1"/>
  <c r="B367" i="1"/>
  <c r="F355" i="1"/>
  <c r="M369" i="3"/>
  <c r="L370" i="3"/>
  <c r="L371" i="3" l="1"/>
  <c r="M370" i="3"/>
  <c r="A370" i="1"/>
  <c r="E359" i="1"/>
  <c r="B368" i="1"/>
  <c r="F356" i="1"/>
  <c r="M371" i="3" l="1"/>
  <c r="L372" i="3"/>
  <c r="A371" i="1"/>
  <c r="E360" i="1"/>
  <c r="B369" i="1"/>
  <c r="F357" i="1"/>
  <c r="A372" i="1" l="1"/>
  <c r="B370" i="1"/>
  <c r="E361" i="1"/>
  <c r="F358" i="1"/>
  <c r="M372" i="3"/>
  <c r="L373" i="3"/>
  <c r="M373" i="3" l="1"/>
  <c r="L374" i="3"/>
  <c r="B371" i="1"/>
  <c r="A373" i="1"/>
  <c r="E362" i="1"/>
  <c r="F359" i="1"/>
  <c r="L375" i="3" l="1"/>
  <c r="M374" i="3"/>
  <c r="B372" i="1"/>
  <c r="A374" i="1"/>
  <c r="E363" i="1"/>
  <c r="F360" i="1"/>
  <c r="M375" i="3" l="1"/>
  <c r="L376" i="3"/>
  <c r="B373" i="1"/>
  <c r="A375" i="1"/>
  <c r="E364" i="1"/>
  <c r="F361" i="1"/>
  <c r="L377" i="3" l="1"/>
  <c r="M376" i="3"/>
  <c r="A376" i="1"/>
  <c r="B374" i="1"/>
  <c r="E365" i="1"/>
  <c r="F362" i="1"/>
  <c r="M377" i="3" l="1"/>
  <c r="L378" i="3"/>
  <c r="A377" i="1"/>
  <c r="E366" i="1"/>
  <c r="B375" i="1"/>
  <c r="F363" i="1"/>
  <c r="A378" i="1" l="1"/>
  <c r="E367" i="1"/>
  <c r="B376" i="1"/>
  <c r="F364" i="1"/>
  <c r="M378" i="3"/>
  <c r="L379" i="3"/>
  <c r="L380" i="3" l="1"/>
  <c r="M379" i="3"/>
  <c r="A379" i="1"/>
  <c r="E368" i="1"/>
  <c r="B377" i="1"/>
  <c r="F365" i="1"/>
  <c r="M380" i="3" l="1"/>
  <c r="L381" i="3"/>
  <c r="A380" i="1"/>
  <c r="B378" i="1"/>
  <c r="E369" i="1"/>
  <c r="F366" i="1"/>
  <c r="M381" i="3" l="1"/>
  <c r="L382" i="3"/>
  <c r="B379" i="1"/>
  <c r="A381" i="1"/>
  <c r="E370" i="1"/>
  <c r="F367" i="1"/>
  <c r="L383" i="3" l="1"/>
  <c r="M382" i="3"/>
  <c r="B380" i="1"/>
  <c r="A382" i="1"/>
  <c r="E371" i="1"/>
  <c r="F368" i="1"/>
  <c r="M383" i="3" l="1"/>
  <c r="L384" i="3"/>
  <c r="A383" i="1"/>
  <c r="B381" i="1"/>
  <c r="E372" i="1"/>
  <c r="F369" i="1"/>
  <c r="L385" i="3" l="1"/>
  <c r="M384" i="3"/>
  <c r="A384" i="1"/>
  <c r="B382" i="1"/>
  <c r="E373" i="1"/>
  <c r="F370" i="1"/>
  <c r="M385" i="3" l="1"/>
  <c r="L386" i="3"/>
  <c r="A385" i="1"/>
  <c r="E374" i="1"/>
  <c r="B383" i="1"/>
  <c r="F371" i="1"/>
  <c r="A386" i="1" l="1"/>
  <c r="E375" i="1"/>
  <c r="B384" i="1"/>
  <c r="F372" i="1"/>
  <c r="M386" i="3"/>
  <c r="L387" i="3"/>
  <c r="A387" i="1" l="1"/>
  <c r="E376" i="1"/>
  <c r="B385" i="1"/>
  <c r="F373" i="1"/>
  <c r="L388" i="3"/>
  <c r="M387" i="3"/>
  <c r="M388" i="3" l="1"/>
  <c r="L389" i="3"/>
  <c r="A388" i="1"/>
  <c r="B386" i="1"/>
  <c r="E377" i="1"/>
  <c r="F374" i="1"/>
  <c r="M389" i="3" l="1"/>
  <c r="L390" i="3"/>
  <c r="B387" i="1"/>
  <c r="A389" i="1"/>
  <c r="E378" i="1"/>
  <c r="F375" i="1"/>
  <c r="B388" i="1" l="1"/>
  <c r="A390" i="1"/>
  <c r="E379" i="1"/>
  <c r="F376" i="1"/>
  <c r="L391" i="3"/>
  <c r="M390" i="3"/>
  <c r="B389" i="1" l="1"/>
  <c r="A391" i="1"/>
  <c r="E380" i="1"/>
  <c r="F377" i="1"/>
  <c r="M391" i="3"/>
  <c r="L392" i="3"/>
  <c r="L393" i="3" l="1"/>
  <c r="M392" i="3"/>
  <c r="A392" i="1"/>
  <c r="B390" i="1"/>
  <c r="E381" i="1"/>
  <c r="F378" i="1"/>
  <c r="A393" i="1" l="1"/>
  <c r="E382" i="1"/>
  <c r="B391" i="1"/>
  <c r="F379" i="1"/>
  <c r="M393" i="3"/>
  <c r="L394" i="3"/>
  <c r="A394" i="1" l="1"/>
  <c r="E383" i="1"/>
  <c r="B392" i="1"/>
  <c r="F380" i="1"/>
  <c r="M394" i="3"/>
  <c r="L395" i="3"/>
  <c r="A395" i="1" l="1"/>
  <c r="E384" i="1"/>
  <c r="B393" i="1"/>
  <c r="F381" i="1"/>
  <c r="L396" i="3"/>
  <c r="M395" i="3"/>
  <c r="A396" i="1" l="1"/>
  <c r="B394" i="1"/>
  <c r="E385" i="1"/>
  <c r="F382" i="1"/>
  <c r="M396" i="3"/>
  <c r="L397" i="3"/>
  <c r="B395" i="1" l="1"/>
  <c r="A397" i="1"/>
  <c r="E386" i="1"/>
  <c r="F383" i="1"/>
  <c r="M397" i="3"/>
  <c r="L398" i="3"/>
  <c r="L399" i="3" l="1"/>
  <c r="M398" i="3"/>
  <c r="A398" i="1"/>
  <c r="B396" i="1"/>
  <c r="E387" i="1"/>
  <c r="F384" i="1"/>
  <c r="B397" i="1" l="1"/>
  <c r="A399" i="1"/>
  <c r="E388" i="1"/>
  <c r="F385" i="1"/>
  <c r="M399" i="3"/>
  <c r="L400" i="3"/>
  <c r="L401" i="3" l="1"/>
  <c r="M400" i="3"/>
  <c r="A400" i="1"/>
  <c r="B398" i="1"/>
  <c r="E389" i="1"/>
  <c r="F386" i="1"/>
  <c r="A401" i="1" l="1"/>
  <c r="E390" i="1"/>
  <c r="B399" i="1"/>
  <c r="F387" i="1"/>
  <c r="M401" i="3"/>
  <c r="L402" i="3"/>
  <c r="M402" i="3" l="1"/>
  <c r="L403" i="3"/>
  <c r="A402" i="1"/>
  <c r="E391" i="1"/>
  <c r="B400" i="1"/>
  <c r="F388" i="1"/>
  <c r="L404" i="3" l="1"/>
  <c r="M403" i="3"/>
  <c r="A403" i="1"/>
  <c r="E392" i="1"/>
  <c r="B401" i="1"/>
  <c r="F389" i="1"/>
  <c r="A404" i="1" l="1"/>
  <c r="B402" i="1"/>
  <c r="E393" i="1"/>
  <c r="F390" i="1"/>
  <c r="M404" i="3"/>
  <c r="L405" i="3"/>
  <c r="M405" i="3" l="1"/>
  <c r="L406" i="3"/>
  <c r="B403" i="1"/>
  <c r="A405" i="1"/>
  <c r="E394" i="1"/>
  <c r="F391" i="1"/>
  <c r="L407" i="3" l="1"/>
  <c r="M406" i="3"/>
  <c r="B404" i="1"/>
  <c r="A406" i="1"/>
  <c r="E395" i="1"/>
  <c r="F392" i="1"/>
  <c r="A407" i="1" l="1"/>
  <c r="B405" i="1"/>
  <c r="E396" i="1"/>
  <c r="F393" i="1"/>
  <c r="M407" i="3"/>
  <c r="L408" i="3"/>
  <c r="L409" i="3" l="1"/>
  <c r="M408" i="3"/>
  <c r="A408" i="1"/>
  <c r="B406" i="1"/>
  <c r="E397" i="1"/>
  <c r="F394" i="1"/>
  <c r="M409" i="3" l="1"/>
  <c r="L410" i="3"/>
  <c r="A409" i="1"/>
  <c r="E398" i="1"/>
  <c r="B407" i="1"/>
  <c r="F395" i="1"/>
  <c r="L411" i="3" l="1"/>
  <c r="M410" i="3"/>
  <c r="A410" i="1"/>
  <c r="E399" i="1"/>
  <c r="B408" i="1"/>
  <c r="F396" i="1"/>
  <c r="A411" i="1" l="1"/>
  <c r="E400" i="1"/>
  <c r="B409" i="1"/>
  <c r="F397" i="1"/>
  <c r="M411" i="3"/>
  <c r="B410" i="1" s="1"/>
  <c r="L412" i="3"/>
  <c r="L413" i="3" l="1"/>
  <c r="M412" i="3"/>
  <c r="A412" i="1"/>
  <c r="E401" i="1"/>
  <c r="F398" i="1"/>
  <c r="A413" i="1" l="1"/>
  <c r="B411" i="1"/>
  <c r="E402" i="1"/>
  <c r="F399" i="1"/>
  <c r="M413" i="3"/>
  <c r="L414" i="3"/>
  <c r="A414" i="1" l="1"/>
  <c r="B412" i="1"/>
  <c r="E403" i="1"/>
  <c r="F400" i="1"/>
  <c r="L415" i="3"/>
  <c r="M414" i="3"/>
  <c r="M415" i="3" l="1"/>
  <c r="L416" i="3"/>
  <c r="A415" i="1"/>
  <c r="B413" i="1"/>
  <c r="E404" i="1"/>
  <c r="F401" i="1"/>
  <c r="L417" i="3" l="1"/>
  <c r="M416" i="3"/>
  <c r="B414" i="1"/>
  <c r="A416" i="1"/>
  <c r="E405" i="1"/>
  <c r="F402" i="1"/>
  <c r="L418" i="3" l="1"/>
  <c r="M417" i="3"/>
  <c r="A417" i="1"/>
  <c r="E406" i="1"/>
  <c r="F403" i="1"/>
  <c r="B415" i="1"/>
  <c r="A418" i="1" l="1"/>
  <c r="E407" i="1"/>
  <c r="B416" i="1"/>
  <c r="F404" i="1"/>
  <c r="M418" i="3"/>
  <c r="L419" i="3"/>
  <c r="M419" i="3" l="1"/>
  <c r="L420" i="3"/>
  <c r="A419" i="1"/>
  <c r="E408" i="1"/>
  <c r="B417" i="1"/>
  <c r="F405" i="1"/>
  <c r="L421" i="3" l="1"/>
  <c r="M420" i="3"/>
  <c r="A420" i="1"/>
  <c r="E409" i="1"/>
  <c r="B418" i="1"/>
  <c r="F406" i="1"/>
  <c r="B419" i="1" l="1"/>
  <c r="A421" i="1"/>
  <c r="E410" i="1"/>
  <c r="F407" i="1"/>
  <c r="M421" i="3"/>
  <c r="L422" i="3"/>
  <c r="M422" i="3" l="1"/>
  <c r="L423" i="3"/>
  <c r="B420" i="1"/>
  <c r="A422" i="1"/>
  <c r="E411" i="1"/>
  <c r="F408" i="1"/>
  <c r="A423" i="1" l="1"/>
  <c r="B421" i="1"/>
  <c r="E412" i="1"/>
  <c r="F409" i="1"/>
  <c r="M423" i="3"/>
  <c r="L424" i="3"/>
  <c r="M424" i="3" l="1"/>
  <c r="L425" i="3"/>
  <c r="A424" i="1"/>
  <c r="B422" i="1"/>
  <c r="E413" i="1"/>
  <c r="F410" i="1"/>
  <c r="B423" i="1"/>
  <c r="M425" i="3" l="1"/>
  <c r="L426" i="3"/>
  <c r="A425" i="1"/>
  <c r="E414" i="1"/>
  <c r="F411" i="1"/>
  <c r="L427" i="3" l="1"/>
  <c r="M426" i="3"/>
  <c r="A426" i="1"/>
  <c r="E415" i="1"/>
  <c r="B424" i="1"/>
  <c r="F412" i="1"/>
  <c r="M427" i="3" l="1"/>
  <c r="L428" i="3"/>
  <c r="A427" i="1"/>
  <c r="E416" i="1"/>
  <c r="B425" i="1"/>
  <c r="F413" i="1"/>
  <c r="A428" i="1" l="1"/>
  <c r="B426" i="1"/>
  <c r="E417" i="1"/>
  <c r="F414" i="1"/>
  <c r="M428" i="3"/>
  <c r="L429" i="3"/>
  <c r="M429" i="3" l="1"/>
  <c r="L430" i="3"/>
  <c r="A429" i="1"/>
  <c r="E418" i="1"/>
  <c r="B427" i="1"/>
  <c r="F415" i="1"/>
  <c r="M430" i="3" l="1"/>
  <c r="L431" i="3"/>
  <c r="B428" i="1"/>
  <c r="A430" i="1"/>
  <c r="E419" i="1"/>
  <c r="F416" i="1"/>
  <c r="L432" i="3" l="1"/>
  <c r="M431" i="3"/>
  <c r="B429" i="1"/>
  <c r="A431" i="1"/>
  <c r="E420" i="1"/>
  <c r="F417" i="1"/>
  <c r="B430" i="1" l="1"/>
  <c r="A432" i="1"/>
  <c r="E421" i="1"/>
  <c r="F418" i="1"/>
  <c r="M432" i="3"/>
  <c r="L433" i="3"/>
  <c r="A433" i="1" l="1"/>
  <c r="E422" i="1"/>
  <c r="F419" i="1"/>
  <c r="L434" i="3"/>
  <c r="M433" i="3"/>
  <c r="B431" i="1"/>
  <c r="A434" i="1" l="1"/>
  <c r="E423" i="1"/>
  <c r="B432" i="1"/>
  <c r="F420" i="1"/>
  <c r="M434" i="3"/>
  <c r="L435" i="3"/>
  <c r="A435" i="1" l="1"/>
  <c r="E424" i="1"/>
  <c r="B433" i="1"/>
  <c r="F421" i="1"/>
  <c r="M435" i="3"/>
  <c r="L436" i="3"/>
  <c r="A436" i="1" l="1"/>
  <c r="B434" i="1"/>
  <c r="E425" i="1"/>
  <c r="F422" i="1"/>
  <c r="M436" i="3"/>
  <c r="B435" i="1" s="1"/>
  <c r="L437" i="3"/>
  <c r="L438" i="3" l="1"/>
  <c r="M437" i="3"/>
  <c r="A437" i="1"/>
  <c r="E426" i="1"/>
  <c r="F423" i="1"/>
  <c r="B436" i="1" l="1"/>
  <c r="A438" i="1"/>
  <c r="E427" i="1"/>
  <c r="F424" i="1"/>
  <c r="L439" i="3"/>
  <c r="M438" i="3"/>
  <c r="A439" i="1" l="1"/>
  <c r="B437" i="1"/>
  <c r="E428" i="1"/>
  <c r="F425" i="1"/>
  <c r="L440" i="3"/>
  <c r="M439" i="3"/>
  <c r="M440" i="3" l="1"/>
  <c r="L441" i="3"/>
  <c r="B438" i="1"/>
  <c r="A440" i="1"/>
  <c r="E429" i="1"/>
  <c r="F426" i="1"/>
  <c r="B439" i="1"/>
  <c r="L442" i="3" l="1"/>
  <c r="M441" i="3"/>
  <c r="A441" i="1"/>
  <c r="E430" i="1"/>
  <c r="F427" i="1"/>
  <c r="L443" i="3" l="1"/>
  <c r="M442" i="3"/>
  <c r="A442" i="1"/>
  <c r="E431" i="1"/>
  <c r="B440" i="1"/>
  <c r="F428" i="1"/>
  <c r="A443" i="1" l="1"/>
  <c r="E432" i="1"/>
  <c r="B441" i="1"/>
  <c r="F429" i="1"/>
  <c r="L444" i="3"/>
  <c r="M443" i="3"/>
  <c r="L445" i="3" l="1"/>
  <c r="M444" i="3"/>
  <c r="A444" i="1"/>
  <c r="E433" i="1"/>
  <c r="F430" i="1"/>
  <c r="B442" i="1"/>
  <c r="A445" i="1" l="1"/>
  <c r="B443" i="1"/>
  <c r="E434" i="1"/>
  <c r="F431" i="1"/>
  <c r="L446" i="3"/>
  <c r="M445" i="3"/>
  <c r="B444" i="1" l="1"/>
  <c r="A446" i="1"/>
  <c r="E435" i="1"/>
  <c r="F432" i="1"/>
  <c r="M446" i="3"/>
  <c r="L447" i="3"/>
  <c r="B445" i="1" l="1"/>
  <c r="A447" i="1"/>
  <c r="E436" i="1"/>
  <c r="F433" i="1"/>
  <c r="M447" i="3"/>
  <c r="L448" i="3"/>
  <c r="A448" i="1" l="1"/>
  <c r="B446" i="1"/>
  <c r="E437" i="1"/>
  <c r="F434" i="1"/>
  <c r="M448" i="3"/>
  <c r="B447" i="1" s="1"/>
  <c r="L449" i="3"/>
  <c r="M449" i="3" l="1"/>
  <c r="L450" i="3"/>
  <c r="A449" i="1"/>
  <c r="E438" i="1"/>
  <c r="F435" i="1"/>
  <c r="M450" i="3" l="1"/>
  <c r="L451" i="3"/>
  <c r="A450" i="1"/>
  <c r="E439" i="1"/>
  <c r="B448" i="1"/>
  <c r="F436" i="1"/>
  <c r="M451" i="3" l="1"/>
  <c r="L452" i="3"/>
  <c r="A451" i="1"/>
  <c r="E440" i="1"/>
  <c r="B449" i="1"/>
  <c r="F437" i="1"/>
  <c r="M452" i="3" l="1"/>
  <c r="L453" i="3"/>
  <c r="A452" i="1"/>
  <c r="E441" i="1"/>
  <c r="B450" i="1"/>
  <c r="F438" i="1"/>
  <c r="M453" i="3" l="1"/>
  <c r="L454" i="3"/>
  <c r="B451" i="1"/>
  <c r="A453" i="1"/>
  <c r="E442" i="1"/>
  <c r="F439" i="1"/>
  <c r="B452" i="1" l="1"/>
  <c r="A454" i="1"/>
  <c r="E443" i="1"/>
  <c r="F440" i="1"/>
  <c r="L455" i="3"/>
  <c r="M454" i="3"/>
  <c r="B453" i="1" l="1"/>
  <c r="A455" i="1"/>
  <c r="E444" i="1"/>
  <c r="F441" i="1"/>
  <c r="L456" i="3"/>
  <c r="M455" i="3"/>
  <c r="M456" i="3" l="1"/>
  <c r="L457" i="3"/>
  <c r="A456" i="1"/>
  <c r="B454" i="1"/>
  <c r="E445" i="1"/>
  <c r="F442" i="1"/>
  <c r="B455" i="1"/>
  <c r="M457" i="3" l="1"/>
  <c r="L458" i="3"/>
  <c r="A457" i="1"/>
  <c r="E446" i="1"/>
  <c r="F443" i="1"/>
  <c r="L459" i="3" l="1"/>
  <c r="M458" i="3"/>
  <c r="A458" i="1"/>
  <c r="E447" i="1"/>
  <c r="B456" i="1"/>
  <c r="F444" i="1"/>
  <c r="A459" i="1" l="1"/>
  <c r="E448" i="1"/>
  <c r="B457" i="1"/>
  <c r="F445" i="1"/>
  <c r="M459" i="3"/>
  <c r="L460" i="3"/>
  <c r="A460" i="1" l="1"/>
  <c r="B458" i="1"/>
  <c r="E449" i="1"/>
  <c r="F446" i="1"/>
  <c r="M460" i="3"/>
  <c r="L461" i="3"/>
  <c r="M461" i="3" l="1"/>
  <c r="L462" i="3"/>
  <c r="A461" i="1"/>
  <c r="E450" i="1"/>
  <c r="B459" i="1"/>
  <c r="F447" i="1"/>
  <c r="L463" i="3" l="1"/>
  <c r="M462" i="3"/>
  <c r="B460" i="1"/>
  <c r="A462" i="1"/>
  <c r="E451" i="1"/>
  <c r="F448" i="1"/>
  <c r="B461" i="1" l="1"/>
  <c r="A463" i="1"/>
  <c r="E452" i="1"/>
  <c r="F449" i="1"/>
  <c r="M463" i="3"/>
  <c r="L464" i="3"/>
  <c r="L465" i="3" l="1"/>
  <c r="M464" i="3"/>
  <c r="B462" i="1"/>
  <c r="A464" i="1"/>
  <c r="E453" i="1"/>
  <c r="F450" i="1"/>
  <c r="B463" i="1"/>
  <c r="A465" i="1" l="1"/>
  <c r="E454" i="1"/>
  <c r="F451" i="1"/>
  <c r="M465" i="3"/>
  <c r="L466" i="3"/>
  <c r="A466" i="1" l="1"/>
  <c r="E455" i="1"/>
  <c r="B464" i="1"/>
  <c r="F452" i="1"/>
  <c r="M466" i="3"/>
  <c r="L467" i="3"/>
  <c r="M467" i="3" l="1"/>
  <c r="L468" i="3"/>
  <c r="A467" i="1"/>
  <c r="E456" i="1"/>
  <c r="B465" i="1"/>
  <c r="F453" i="1"/>
  <c r="L469" i="3" l="1"/>
  <c r="M468" i="3"/>
  <c r="B467" i="1" s="1"/>
  <c r="A468" i="1"/>
  <c r="B466" i="1"/>
  <c r="E457" i="1"/>
  <c r="F454" i="1"/>
  <c r="M469" i="3" l="1"/>
  <c r="L470" i="3"/>
  <c r="A469" i="1"/>
  <c r="E458" i="1"/>
  <c r="F455" i="1"/>
  <c r="L471" i="3" l="1"/>
  <c r="M470" i="3"/>
  <c r="B468" i="1"/>
  <c r="A470" i="1"/>
  <c r="E459" i="1"/>
  <c r="F456" i="1"/>
  <c r="A471" i="1" l="1"/>
  <c r="B469" i="1"/>
  <c r="E460" i="1"/>
  <c r="F457" i="1"/>
  <c r="M471" i="3"/>
  <c r="L472" i="3"/>
  <c r="M472" i="3" l="1"/>
  <c r="L473" i="3"/>
  <c r="A472" i="1"/>
  <c r="B470" i="1"/>
  <c r="E461" i="1"/>
  <c r="F458" i="1"/>
  <c r="B471" i="1"/>
  <c r="M473" i="3" l="1"/>
  <c r="L474" i="3"/>
  <c r="A473" i="1"/>
  <c r="E462" i="1"/>
  <c r="F459" i="1"/>
  <c r="A474" i="1" l="1"/>
  <c r="E463" i="1"/>
  <c r="B472" i="1"/>
  <c r="F460" i="1"/>
  <c r="M474" i="3"/>
  <c r="L475" i="3"/>
  <c r="A475" i="1" l="1"/>
  <c r="E464" i="1"/>
  <c r="B473" i="1"/>
  <c r="F461" i="1"/>
  <c r="L476" i="3"/>
  <c r="M475" i="3"/>
  <c r="B474" i="1"/>
  <c r="A476" i="1" l="1"/>
  <c r="E465" i="1"/>
  <c r="F462" i="1"/>
  <c r="L477" i="3"/>
  <c r="M476" i="3"/>
  <c r="B475" i="1" l="1"/>
  <c r="A477" i="1"/>
  <c r="E466" i="1"/>
  <c r="F463" i="1"/>
  <c r="L478" i="3"/>
  <c r="M477" i="3"/>
  <c r="M478" i="3" l="1"/>
  <c r="L479" i="3"/>
  <c r="B476" i="1"/>
  <c r="A478" i="1"/>
  <c r="E467" i="1"/>
  <c r="F464" i="1"/>
  <c r="M479" i="3" l="1"/>
  <c r="L480" i="3"/>
  <c r="A479" i="1"/>
  <c r="B477" i="1"/>
  <c r="E468" i="1"/>
  <c r="F465" i="1"/>
  <c r="M480" i="3" l="1"/>
  <c r="L481" i="3"/>
  <c r="B479" i="1"/>
  <c r="A480" i="1"/>
  <c r="B478" i="1"/>
  <c r="E469" i="1"/>
  <c r="F466" i="1"/>
  <c r="M481" i="3" l="1"/>
  <c r="L482" i="3"/>
  <c r="A481" i="1"/>
  <c r="E470" i="1"/>
  <c r="F467" i="1"/>
  <c r="A482" i="1" l="1"/>
  <c r="E471" i="1"/>
  <c r="B480" i="1"/>
  <c r="F468" i="1"/>
  <c r="M482" i="3"/>
  <c r="L483" i="3"/>
  <c r="M483" i="3" l="1"/>
  <c r="L484" i="3"/>
  <c r="A483" i="1"/>
  <c r="E472" i="1"/>
  <c r="B481" i="1"/>
  <c r="F469" i="1"/>
  <c r="M484" i="3" l="1"/>
  <c r="L485" i="3"/>
  <c r="A484" i="1"/>
  <c r="E473" i="1"/>
  <c r="B482" i="1"/>
  <c r="F470" i="1"/>
  <c r="L486" i="3" l="1"/>
  <c r="M485" i="3"/>
  <c r="B483" i="1"/>
  <c r="A485" i="1"/>
  <c r="E474" i="1"/>
  <c r="F471" i="1"/>
  <c r="B484" i="1" l="1"/>
  <c r="A486" i="1"/>
  <c r="E475" i="1"/>
  <c r="F472" i="1"/>
  <c r="L487" i="3"/>
  <c r="M486" i="3"/>
  <c r="B485" i="1" l="1"/>
  <c r="A487" i="1"/>
  <c r="E476" i="1"/>
  <c r="F473" i="1"/>
  <c r="M487" i="3"/>
  <c r="L488" i="3"/>
  <c r="M488" i="3" l="1"/>
  <c r="L489" i="3"/>
  <c r="B487" i="1"/>
  <c r="A488" i="1"/>
  <c r="B486" i="1"/>
  <c r="E477" i="1"/>
  <c r="F474" i="1"/>
  <c r="L490" i="3" l="1"/>
  <c r="M489" i="3"/>
  <c r="B488" i="1" s="1"/>
  <c r="A489" i="1"/>
  <c r="E478" i="1"/>
  <c r="F475" i="1"/>
  <c r="L491" i="3" l="1"/>
  <c r="M490" i="3"/>
  <c r="A490" i="1"/>
  <c r="E479" i="1"/>
  <c r="F476" i="1"/>
  <c r="M491" i="3" l="1"/>
  <c r="L492" i="3"/>
  <c r="B490" i="1"/>
  <c r="A491" i="1"/>
  <c r="E480" i="1"/>
  <c r="B489" i="1"/>
  <c r="F477" i="1"/>
  <c r="M492" i="3" l="1"/>
  <c r="L493" i="3"/>
  <c r="A492" i="1"/>
  <c r="E481" i="1"/>
  <c r="F478" i="1"/>
  <c r="M493" i="3" l="1"/>
  <c r="L494" i="3"/>
  <c r="A493" i="1"/>
  <c r="B491" i="1"/>
  <c r="E482" i="1"/>
  <c r="F479" i="1"/>
  <c r="M494" i="3" l="1"/>
  <c r="L495" i="3"/>
  <c r="B492" i="1"/>
  <c r="A494" i="1"/>
  <c r="E483" i="1"/>
  <c r="F480" i="1"/>
  <c r="B493" i="1" l="1"/>
  <c r="A495" i="1"/>
  <c r="E484" i="1"/>
  <c r="F481" i="1"/>
  <c r="M495" i="3"/>
  <c r="L496" i="3"/>
  <c r="A496" i="1" l="1"/>
  <c r="B494" i="1"/>
  <c r="E485" i="1"/>
  <c r="F482" i="1"/>
  <c r="L497" i="3"/>
  <c r="M496" i="3"/>
  <c r="B495" i="1"/>
  <c r="A497" i="1" l="1"/>
  <c r="E486" i="1"/>
  <c r="F483" i="1"/>
  <c r="L498" i="3"/>
  <c r="M497" i="3"/>
  <c r="A498" i="1" l="1"/>
  <c r="E487" i="1"/>
  <c r="F484" i="1"/>
  <c r="M498" i="3"/>
  <c r="L499" i="3"/>
  <c r="B496" i="1"/>
  <c r="A499" i="1" l="1"/>
  <c r="E488" i="1"/>
  <c r="B497" i="1"/>
  <c r="F485" i="1"/>
  <c r="L500" i="3"/>
  <c r="M499" i="3"/>
  <c r="A500" i="1" l="1"/>
  <c r="B498" i="1"/>
  <c r="E489" i="1"/>
  <c r="F486" i="1"/>
  <c r="L501" i="3"/>
  <c r="M500" i="3"/>
  <c r="B499" i="1" s="1"/>
  <c r="L502" i="3" l="1"/>
  <c r="M501" i="3"/>
  <c r="A501" i="1"/>
  <c r="E490" i="1"/>
  <c r="F487" i="1"/>
  <c r="M502" i="3" l="1"/>
  <c r="L503" i="3"/>
  <c r="A502" i="1"/>
  <c r="E491" i="1"/>
  <c r="B500" i="1"/>
  <c r="F488" i="1"/>
  <c r="M503" i="3" l="1"/>
  <c r="L504" i="3"/>
  <c r="A503" i="1"/>
  <c r="B501" i="1"/>
  <c r="E492" i="1"/>
  <c r="F489" i="1"/>
  <c r="M504" i="3" l="1"/>
  <c r="L505" i="3"/>
  <c r="A504" i="1"/>
  <c r="B502" i="1"/>
  <c r="E493" i="1"/>
  <c r="F490" i="1"/>
  <c r="A505" i="1" l="1"/>
  <c r="B503" i="1"/>
  <c r="E494" i="1"/>
  <c r="F491" i="1"/>
  <c r="M505" i="3"/>
  <c r="L506" i="3"/>
  <c r="L507" i="3" l="1"/>
  <c r="M506" i="3"/>
  <c r="A506" i="1"/>
  <c r="E495" i="1"/>
  <c r="F492" i="1"/>
  <c r="B504" i="1"/>
  <c r="A507" i="1" l="1"/>
  <c r="E496" i="1"/>
  <c r="B505" i="1"/>
  <c r="F493" i="1"/>
  <c r="M507" i="3"/>
  <c r="L508" i="3"/>
  <c r="A508" i="1" l="1"/>
  <c r="E497" i="1"/>
  <c r="F494" i="1"/>
  <c r="B506" i="1"/>
  <c r="M508" i="3"/>
  <c r="L509" i="3"/>
  <c r="B507" i="1" l="1"/>
  <c r="A509" i="1"/>
  <c r="E498" i="1"/>
  <c r="F495" i="1"/>
  <c r="M509" i="3"/>
  <c r="L510" i="3"/>
  <c r="B508" i="1" l="1"/>
  <c r="A510" i="1"/>
  <c r="E499" i="1"/>
  <c r="F496" i="1"/>
  <c r="L511" i="3"/>
  <c r="M510" i="3"/>
  <c r="L512" i="3" l="1"/>
  <c r="M511" i="3"/>
  <c r="B509" i="1"/>
  <c r="A511" i="1"/>
  <c r="E500" i="1"/>
  <c r="F497" i="1"/>
  <c r="A512" i="1" l="1"/>
  <c r="B510" i="1"/>
  <c r="E501" i="1"/>
  <c r="F498" i="1"/>
  <c r="L513" i="3"/>
  <c r="M512" i="3"/>
  <c r="L514" i="3" l="1"/>
  <c r="M513" i="3"/>
  <c r="A513" i="1"/>
  <c r="E502" i="1"/>
  <c r="F499" i="1"/>
  <c r="B511" i="1"/>
  <c r="A514" i="1" l="1"/>
  <c r="E503" i="1"/>
  <c r="B512" i="1"/>
  <c r="F500" i="1"/>
  <c r="M514" i="3"/>
  <c r="L515" i="3"/>
  <c r="L516" i="3" l="1"/>
  <c r="M515" i="3"/>
  <c r="A515" i="1"/>
  <c r="E504" i="1"/>
  <c r="B513" i="1"/>
  <c r="F501" i="1"/>
  <c r="A516" i="1" l="1"/>
  <c r="B514" i="1"/>
  <c r="E505" i="1"/>
  <c r="F502" i="1"/>
  <c r="M516" i="3"/>
  <c r="L517" i="3"/>
  <c r="A517" i="1" l="1"/>
  <c r="E506" i="1"/>
  <c r="F503" i="1"/>
  <c r="M517" i="3"/>
  <c r="L518" i="3"/>
  <c r="B515" i="1"/>
  <c r="M518" i="3" l="1"/>
  <c r="L519" i="3"/>
  <c r="A518" i="1"/>
  <c r="E507" i="1"/>
  <c r="B516" i="1"/>
  <c r="F504" i="1"/>
  <c r="L520" i="3" l="1"/>
  <c r="M519" i="3"/>
  <c r="A519" i="1"/>
  <c r="B517" i="1"/>
  <c r="E508" i="1"/>
  <c r="F505" i="1"/>
  <c r="B518" i="1" l="1"/>
  <c r="A520" i="1"/>
  <c r="E509" i="1"/>
  <c r="F506" i="1"/>
  <c r="M520" i="3"/>
  <c r="L521" i="3"/>
  <c r="A521" i="1" l="1"/>
  <c r="B519" i="1"/>
  <c r="E510" i="1"/>
  <c r="F507" i="1"/>
  <c r="M521" i="3"/>
  <c r="L522" i="3"/>
  <c r="B520" i="1"/>
  <c r="A522" i="1" l="1"/>
  <c r="E511" i="1"/>
  <c r="F508" i="1"/>
  <c r="M522" i="3"/>
  <c r="L523" i="3"/>
  <c r="L524" i="3" l="1"/>
  <c r="M523" i="3"/>
  <c r="A523" i="1"/>
  <c r="E512" i="1"/>
  <c r="B521" i="1"/>
  <c r="F509" i="1"/>
  <c r="B522" i="1"/>
  <c r="A524" i="1" l="1"/>
  <c r="E513" i="1"/>
  <c r="F510" i="1"/>
  <c r="M524" i="3"/>
  <c r="L525" i="3"/>
  <c r="L526" i="3" l="1"/>
  <c r="M525" i="3"/>
  <c r="B523" i="1"/>
  <c r="A525" i="1"/>
  <c r="E514" i="1"/>
  <c r="F511" i="1"/>
  <c r="B524" i="1" l="1"/>
  <c r="A526" i="1"/>
  <c r="E515" i="1"/>
  <c r="F512" i="1"/>
  <c r="M526" i="3"/>
  <c r="L527" i="3"/>
  <c r="B525" i="1" l="1"/>
  <c r="A527" i="1"/>
  <c r="E516" i="1"/>
  <c r="F513" i="1"/>
  <c r="M527" i="3"/>
  <c r="L528" i="3"/>
  <c r="M528" i="3" l="1"/>
  <c r="L529" i="3"/>
  <c r="B526" i="1"/>
  <c r="A528" i="1"/>
  <c r="E517" i="1"/>
  <c r="F514" i="1"/>
  <c r="B527" i="1"/>
  <c r="M529" i="3" l="1"/>
  <c r="L530" i="3"/>
  <c r="A529" i="1"/>
  <c r="E518" i="1"/>
  <c r="F515" i="1"/>
  <c r="M530" i="3" l="1"/>
  <c r="L531" i="3"/>
  <c r="A530" i="1"/>
  <c r="E519" i="1"/>
  <c r="B528" i="1"/>
  <c r="F516" i="1"/>
  <c r="M531" i="3" l="1"/>
  <c r="L532" i="3"/>
  <c r="A531" i="1"/>
  <c r="E520" i="1"/>
  <c r="B529" i="1"/>
  <c r="F517" i="1"/>
  <c r="L533" i="3" l="1"/>
  <c r="M532" i="3"/>
  <c r="B531" i="1" s="1"/>
  <c r="A532" i="1"/>
  <c r="B530" i="1"/>
  <c r="E521" i="1"/>
  <c r="F518" i="1"/>
  <c r="A533" i="1" l="1"/>
  <c r="E522" i="1"/>
  <c r="F519" i="1"/>
  <c r="M533" i="3"/>
  <c r="L534" i="3"/>
  <c r="M534" i="3" l="1"/>
  <c r="L535" i="3"/>
  <c r="A534" i="1"/>
  <c r="E523" i="1"/>
  <c r="B532" i="1"/>
  <c r="F520" i="1"/>
  <c r="M535" i="3" l="1"/>
  <c r="L536" i="3"/>
  <c r="A535" i="1"/>
  <c r="B533" i="1"/>
  <c r="E524" i="1"/>
  <c r="F521" i="1"/>
  <c r="L537" i="3" l="1"/>
  <c r="M536" i="3"/>
  <c r="A536" i="1"/>
  <c r="B534" i="1"/>
  <c r="E525" i="1"/>
  <c r="F522" i="1"/>
  <c r="B535" i="1" l="1"/>
  <c r="A537" i="1"/>
  <c r="E526" i="1"/>
  <c r="F523" i="1"/>
  <c r="M537" i="3"/>
  <c r="B536" i="1" s="1"/>
  <c r="L538" i="3"/>
  <c r="A538" i="1" l="1"/>
  <c r="E527" i="1"/>
  <c r="F524" i="1"/>
  <c r="M538" i="3"/>
  <c r="L539" i="3"/>
  <c r="A539" i="1" l="1"/>
  <c r="E528" i="1"/>
  <c r="B537" i="1"/>
  <c r="F525" i="1"/>
  <c r="M539" i="3"/>
  <c r="L540" i="3"/>
  <c r="B538" i="1"/>
  <c r="A540" i="1" l="1"/>
  <c r="E529" i="1"/>
  <c r="F526" i="1"/>
  <c r="M540" i="3"/>
  <c r="L541" i="3"/>
  <c r="M541" i="3" l="1"/>
  <c r="L542" i="3"/>
  <c r="A541" i="1"/>
  <c r="B539" i="1"/>
  <c r="E530" i="1"/>
  <c r="F527" i="1"/>
  <c r="B540" i="1"/>
  <c r="M542" i="3" l="1"/>
  <c r="L543" i="3"/>
  <c r="A542" i="1"/>
  <c r="E531" i="1"/>
  <c r="F528" i="1"/>
  <c r="M543" i="3" l="1"/>
  <c r="L544" i="3"/>
  <c r="B541" i="1"/>
  <c r="A543" i="1"/>
  <c r="E532" i="1"/>
  <c r="F529" i="1"/>
  <c r="M544" i="3" l="1"/>
  <c r="L545" i="3"/>
  <c r="B543" i="1"/>
  <c r="B542" i="1"/>
  <c r="A544" i="1"/>
  <c r="E533" i="1"/>
  <c r="F530" i="1"/>
  <c r="L546" i="3" l="1"/>
  <c r="M545" i="3"/>
  <c r="A545" i="1"/>
  <c r="E534" i="1"/>
  <c r="F531" i="1"/>
  <c r="M546" i="3" l="1"/>
  <c r="L547" i="3"/>
  <c r="A546" i="1"/>
  <c r="E535" i="1"/>
  <c r="B544" i="1"/>
  <c r="F532" i="1"/>
  <c r="L548" i="3" l="1"/>
  <c r="M547" i="3"/>
  <c r="A547" i="1"/>
  <c r="E536" i="1"/>
  <c r="B545" i="1"/>
  <c r="F533" i="1"/>
  <c r="L549" i="3" l="1"/>
  <c r="M548" i="3"/>
  <c r="B547" i="1"/>
  <c r="A548" i="1"/>
  <c r="B546" i="1"/>
  <c r="E537" i="1"/>
  <c r="F534" i="1"/>
  <c r="A549" i="1" l="1"/>
  <c r="E538" i="1"/>
  <c r="F535" i="1"/>
  <c r="M549" i="3"/>
  <c r="L550" i="3"/>
  <c r="L551" i="3" l="1"/>
  <c r="M550" i="3"/>
  <c r="A550" i="1"/>
  <c r="E539" i="1"/>
  <c r="B548" i="1"/>
  <c r="F536" i="1"/>
  <c r="B549" i="1" l="1"/>
  <c r="A551" i="1"/>
  <c r="E540" i="1"/>
  <c r="F537" i="1"/>
  <c r="M551" i="3"/>
  <c r="L552" i="3"/>
  <c r="L553" i="3" l="1"/>
  <c r="M552" i="3"/>
  <c r="B550" i="1"/>
  <c r="A552" i="1"/>
  <c r="E541" i="1"/>
  <c r="F538" i="1"/>
  <c r="A553" i="1" l="1"/>
  <c r="B551" i="1"/>
  <c r="E542" i="1"/>
  <c r="F539" i="1"/>
  <c r="M553" i="3"/>
  <c r="L554" i="3"/>
  <c r="L555" i="3" l="1"/>
  <c r="M554" i="3"/>
  <c r="A554" i="1"/>
  <c r="E543" i="1"/>
  <c r="F540" i="1"/>
  <c r="B552" i="1"/>
  <c r="M555" i="3" l="1"/>
  <c r="L556" i="3"/>
  <c r="B554" i="1"/>
  <c r="A555" i="1"/>
  <c r="E544" i="1"/>
  <c r="B553" i="1"/>
  <c r="F541" i="1"/>
  <c r="M556" i="3" l="1"/>
  <c r="L557" i="3"/>
  <c r="A556" i="1"/>
  <c r="E545" i="1"/>
  <c r="F542" i="1"/>
  <c r="M557" i="3" l="1"/>
  <c r="L558" i="3"/>
  <c r="A557" i="1"/>
  <c r="B555" i="1"/>
  <c r="E546" i="1"/>
  <c r="F543" i="1"/>
  <c r="B556" i="1"/>
  <c r="M558" i="3" l="1"/>
  <c r="L559" i="3"/>
  <c r="A558" i="1"/>
  <c r="E547" i="1"/>
  <c r="F544" i="1"/>
  <c r="L560" i="3" l="1"/>
  <c r="M559" i="3"/>
  <c r="B557" i="1"/>
  <c r="A559" i="1"/>
  <c r="E548" i="1"/>
  <c r="F545" i="1"/>
  <c r="B558" i="1" l="1"/>
  <c r="A560" i="1"/>
  <c r="E549" i="1"/>
  <c r="F546" i="1"/>
  <c r="M560" i="3"/>
  <c r="L561" i="3"/>
  <c r="A561" i="1" l="1"/>
  <c r="E550" i="1"/>
  <c r="F547" i="1"/>
  <c r="B559" i="1"/>
  <c r="L562" i="3"/>
  <c r="M561" i="3"/>
  <c r="A562" i="1" l="1"/>
  <c r="E551" i="1"/>
  <c r="B560" i="1"/>
  <c r="F548" i="1"/>
  <c r="M562" i="3"/>
  <c r="L563" i="3"/>
  <c r="A563" i="1" l="1"/>
  <c r="E552" i="1"/>
  <c r="B561" i="1"/>
  <c r="F549" i="1"/>
  <c r="L564" i="3"/>
  <c r="M563" i="3"/>
  <c r="L565" i="3" l="1"/>
  <c r="M564" i="3"/>
  <c r="A564" i="1"/>
  <c r="B562" i="1"/>
  <c r="E553" i="1"/>
  <c r="F550" i="1"/>
  <c r="B563" i="1"/>
  <c r="A565" i="1" l="1"/>
  <c r="E554" i="1"/>
  <c r="F551" i="1"/>
  <c r="M565" i="3"/>
  <c r="L566" i="3"/>
  <c r="A566" i="1" l="1"/>
  <c r="E555" i="1"/>
  <c r="B564" i="1"/>
  <c r="F552" i="1"/>
  <c r="M566" i="3"/>
  <c r="L567" i="3"/>
  <c r="L568" i="3" l="1"/>
  <c r="M567" i="3"/>
  <c r="B565" i="1"/>
  <c r="A567" i="1"/>
  <c r="E556" i="1"/>
  <c r="F553" i="1"/>
  <c r="B566" i="1" l="1"/>
  <c r="A568" i="1"/>
  <c r="E557" i="1"/>
  <c r="F554" i="1"/>
  <c r="L569" i="3"/>
  <c r="M568" i="3"/>
  <c r="L570" i="3" l="1"/>
  <c r="M569" i="3"/>
  <c r="B567" i="1"/>
  <c r="A569" i="1"/>
  <c r="E558" i="1"/>
  <c r="F555" i="1"/>
  <c r="B568" i="1"/>
  <c r="A570" i="1" l="1"/>
  <c r="E559" i="1"/>
  <c r="F556" i="1"/>
  <c r="L571" i="3"/>
  <c r="M570" i="3"/>
  <c r="M571" i="3" l="1"/>
  <c r="B570" i="1" s="1"/>
  <c r="L572" i="3"/>
  <c r="A571" i="1"/>
  <c r="E560" i="1"/>
  <c r="B569" i="1"/>
  <c r="F557" i="1"/>
  <c r="M572" i="3" l="1"/>
  <c r="L573" i="3"/>
  <c r="A572" i="1"/>
  <c r="E561" i="1"/>
  <c r="F558" i="1"/>
  <c r="A573" i="1" l="1"/>
  <c r="B571" i="1"/>
  <c r="E562" i="1"/>
  <c r="F559" i="1"/>
  <c r="M573" i="3"/>
  <c r="L574" i="3"/>
  <c r="A574" i="1" l="1"/>
  <c r="E563" i="1"/>
  <c r="F560" i="1"/>
  <c r="M574" i="3"/>
  <c r="L575" i="3"/>
  <c r="B572" i="1"/>
  <c r="M575" i="3" l="1"/>
  <c r="L576" i="3"/>
  <c r="A575" i="1"/>
  <c r="B573" i="1"/>
  <c r="E564" i="1"/>
  <c r="F561" i="1"/>
  <c r="M576" i="3" l="1"/>
  <c r="L577" i="3"/>
  <c r="A576" i="1"/>
  <c r="B574" i="1"/>
  <c r="E565" i="1"/>
  <c r="F562" i="1"/>
  <c r="L578" i="3" l="1"/>
  <c r="M577" i="3"/>
  <c r="A577" i="1"/>
  <c r="E566" i="1"/>
  <c r="F563" i="1"/>
  <c r="B575" i="1"/>
  <c r="L579" i="3" l="1"/>
  <c r="M578" i="3"/>
  <c r="A578" i="1"/>
  <c r="E567" i="1"/>
  <c r="B576" i="1"/>
  <c r="F564" i="1"/>
  <c r="A579" i="1" l="1"/>
  <c r="E568" i="1"/>
  <c r="B577" i="1"/>
  <c r="F565" i="1"/>
  <c r="L580" i="3"/>
  <c r="M579" i="3"/>
  <c r="A580" i="1" l="1"/>
  <c r="B578" i="1"/>
  <c r="E569" i="1"/>
  <c r="F566" i="1"/>
  <c r="L581" i="3"/>
  <c r="M580" i="3"/>
  <c r="B579" i="1" s="1"/>
  <c r="L582" i="3" l="1"/>
  <c r="M581" i="3"/>
  <c r="A581" i="1"/>
  <c r="E570" i="1"/>
  <c r="F567" i="1"/>
  <c r="A582" i="1" l="1"/>
  <c r="E571" i="1"/>
  <c r="B580" i="1"/>
  <c r="F568" i="1"/>
  <c r="M582" i="3"/>
  <c r="L583" i="3"/>
  <c r="M583" i="3" l="1"/>
  <c r="L584" i="3"/>
  <c r="B581" i="1"/>
  <c r="A583" i="1"/>
  <c r="E572" i="1"/>
  <c r="F569" i="1"/>
  <c r="L585" i="3" l="1"/>
  <c r="M584" i="3"/>
  <c r="A584" i="1"/>
  <c r="B582" i="1"/>
  <c r="E573" i="1"/>
  <c r="F570" i="1"/>
  <c r="B583" i="1" l="1"/>
  <c r="A585" i="1"/>
  <c r="E574" i="1"/>
  <c r="F571" i="1"/>
  <c r="L586" i="3"/>
  <c r="M585" i="3"/>
  <c r="M586" i="3" l="1"/>
  <c r="L587" i="3"/>
  <c r="A586" i="1"/>
  <c r="E575" i="1"/>
  <c r="F572" i="1"/>
  <c r="B584" i="1"/>
  <c r="M587" i="3" l="1"/>
  <c r="B586" i="1" s="1"/>
  <c r="L588" i="3"/>
  <c r="A587" i="1"/>
  <c r="E576" i="1"/>
  <c r="F573" i="1"/>
  <c r="B585" i="1"/>
  <c r="L589" i="3" l="1"/>
  <c r="M588" i="3"/>
  <c r="A588" i="1"/>
  <c r="E577" i="1"/>
  <c r="F574" i="1"/>
  <c r="A589" i="1" l="1"/>
  <c r="E578" i="1"/>
  <c r="B587" i="1"/>
  <c r="F575" i="1"/>
  <c r="L590" i="3"/>
  <c r="M589" i="3"/>
  <c r="A590" i="1" l="1"/>
  <c r="B588" i="1"/>
  <c r="E579" i="1"/>
  <c r="F576" i="1"/>
  <c r="L591" i="3"/>
  <c r="M590" i="3"/>
  <c r="A591" i="1" l="1"/>
  <c r="B589" i="1"/>
  <c r="E580" i="1"/>
  <c r="F577" i="1"/>
  <c r="M591" i="3"/>
  <c r="L592" i="3"/>
  <c r="M592" i="3" l="1"/>
  <c r="L593" i="3"/>
  <c r="B590" i="1"/>
  <c r="A592" i="1"/>
  <c r="E581" i="1"/>
  <c r="F578" i="1"/>
  <c r="B591" i="1"/>
  <c r="L594" i="3" l="1"/>
  <c r="M593" i="3"/>
  <c r="A593" i="1"/>
  <c r="E582" i="1"/>
  <c r="F579" i="1"/>
  <c r="B592" i="1" l="1"/>
  <c r="A594" i="1"/>
  <c r="E583" i="1"/>
  <c r="F580" i="1"/>
  <c r="L595" i="3"/>
  <c r="M594" i="3"/>
  <c r="M595" i="3" l="1"/>
  <c r="L596" i="3"/>
  <c r="A595" i="1"/>
  <c r="B593" i="1"/>
  <c r="E584" i="1"/>
  <c r="F581" i="1"/>
  <c r="M596" i="3" l="1"/>
  <c r="L597" i="3"/>
  <c r="A596" i="1"/>
  <c r="E585" i="1"/>
  <c r="B594" i="1"/>
  <c r="F582" i="1"/>
  <c r="L598" i="3" l="1"/>
  <c r="M597" i="3"/>
  <c r="A597" i="1"/>
  <c r="E586" i="1"/>
  <c r="B595" i="1"/>
  <c r="F583" i="1"/>
  <c r="M598" i="3" l="1"/>
  <c r="L599" i="3"/>
  <c r="A598" i="1"/>
  <c r="B596" i="1"/>
  <c r="E587" i="1"/>
  <c r="F584" i="1"/>
  <c r="M599" i="3" l="1"/>
  <c r="L600" i="3"/>
  <c r="A599" i="1"/>
  <c r="B597" i="1"/>
  <c r="E588" i="1"/>
  <c r="F585" i="1"/>
  <c r="L601" i="3" l="1"/>
  <c r="M600" i="3"/>
  <c r="B598" i="1"/>
  <c r="A600" i="1"/>
  <c r="E589" i="1"/>
  <c r="F586" i="1"/>
  <c r="L602" i="3" l="1"/>
  <c r="M601" i="3"/>
  <c r="A601" i="1"/>
  <c r="E590" i="1"/>
  <c r="F587" i="1"/>
  <c r="B599" i="1"/>
  <c r="B600" i="1" l="1"/>
  <c r="A602" i="1"/>
  <c r="E591" i="1"/>
  <c r="F588" i="1"/>
  <c r="L603" i="3"/>
  <c r="M602" i="3"/>
  <c r="A603" i="1" l="1"/>
  <c r="B601" i="1"/>
  <c r="E592" i="1"/>
  <c r="F589" i="1"/>
  <c r="M603" i="3"/>
  <c r="L604" i="3"/>
  <c r="L605" i="3" l="1"/>
  <c r="M604" i="3"/>
  <c r="A604" i="1"/>
  <c r="B602" i="1"/>
  <c r="E593" i="1"/>
  <c r="F590" i="1"/>
  <c r="B603" i="1"/>
  <c r="A605" i="1" l="1"/>
  <c r="E594" i="1"/>
  <c r="F591" i="1"/>
  <c r="L606" i="3"/>
  <c r="M605" i="3"/>
  <c r="L607" i="3" l="1"/>
  <c r="M606" i="3"/>
  <c r="A606" i="1"/>
  <c r="B604" i="1"/>
  <c r="E595" i="1"/>
  <c r="F592" i="1"/>
  <c r="A607" i="1" l="1"/>
  <c r="B605" i="1"/>
  <c r="E596" i="1"/>
  <c r="F593" i="1"/>
  <c r="L608" i="3"/>
  <c r="M607" i="3"/>
  <c r="B606" i="1" s="1"/>
  <c r="L609" i="3" l="1"/>
  <c r="M608" i="3"/>
  <c r="B607" i="1"/>
  <c r="A608" i="1"/>
  <c r="E597" i="1"/>
  <c r="F594" i="1"/>
  <c r="A609" i="1" l="1"/>
  <c r="E598" i="1"/>
  <c r="F595" i="1"/>
  <c r="M609" i="3"/>
  <c r="L610" i="3"/>
  <c r="B608" i="1" l="1"/>
  <c r="A610" i="1"/>
  <c r="E599" i="1"/>
  <c r="F596" i="1"/>
  <c r="L611" i="3"/>
  <c r="M610" i="3"/>
  <c r="M611" i="3" l="1"/>
  <c r="L612" i="3"/>
  <c r="A611" i="1"/>
  <c r="B609" i="1"/>
  <c r="E600" i="1"/>
  <c r="F597" i="1"/>
  <c r="B610" i="1"/>
  <c r="M612" i="3" l="1"/>
  <c r="B611" i="1" s="1"/>
  <c r="L613" i="3"/>
  <c r="A612" i="1"/>
  <c r="E601" i="1"/>
  <c r="F598" i="1"/>
  <c r="M613" i="3" l="1"/>
  <c r="L614" i="3"/>
  <c r="A613" i="1"/>
  <c r="E602" i="1"/>
  <c r="F599" i="1"/>
  <c r="L615" i="3" l="1"/>
  <c r="M614" i="3"/>
  <c r="B612" i="1"/>
  <c r="A614" i="1"/>
  <c r="E603" i="1"/>
  <c r="F600" i="1"/>
  <c r="A615" i="1" l="1"/>
  <c r="B613" i="1"/>
  <c r="E604" i="1"/>
  <c r="F601" i="1"/>
  <c r="M615" i="3"/>
  <c r="L616" i="3"/>
  <c r="L617" i="3" l="1"/>
  <c r="M616" i="3"/>
  <c r="B615" i="1" s="1"/>
  <c r="B614" i="1"/>
  <c r="A616" i="1"/>
  <c r="E605" i="1"/>
  <c r="F602" i="1"/>
  <c r="A617" i="1" l="1"/>
  <c r="E606" i="1"/>
  <c r="F603" i="1"/>
  <c r="M617" i="3"/>
  <c r="L618" i="3"/>
  <c r="L619" i="3" l="1"/>
  <c r="M618" i="3"/>
  <c r="B616" i="1"/>
  <c r="A618" i="1"/>
  <c r="E607" i="1"/>
  <c r="F604" i="1"/>
  <c r="B617" i="1"/>
  <c r="A619" i="1" l="1"/>
  <c r="E608" i="1"/>
  <c r="F605" i="1"/>
  <c r="M619" i="3"/>
  <c r="L620" i="3"/>
  <c r="M620" i="3" l="1"/>
  <c r="L621" i="3"/>
  <c r="A620" i="1"/>
  <c r="E609" i="1"/>
  <c r="B618" i="1"/>
  <c r="F606" i="1"/>
  <c r="B619" i="1"/>
  <c r="M621" i="3" l="1"/>
  <c r="L622" i="3"/>
  <c r="A621" i="1"/>
  <c r="E610" i="1"/>
  <c r="F607" i="1"/>
  <c r="L623" i="3" l="1"/>
  <c r="M622" i="3"/>
  <c r="B620" i="1"/>
  <c r="A622" i="1"/>
  <c r="E611" i="1"/>
  <c r="F608" i="1"/>
  <c r="A623" i="1" l="1"/>
  <c r="B621" i="1"/>
  <c r="E612" i="1"/>
  <c r="F609" i="1"/>
  <c r="M623" i="3"/>
  <c r="B622" i="1" s="1"/>
  <c r="L624" i="3"/>
  <c r="A624" i="1" l="1"/>
  <c r="E613" i="1"/>
  <c r="F610" i="1"/>
  <c r="M624" i="3"/>
  <c r="B623" i="1" s="1"/>
  <c r="L625" i="3"/>
  <c r="A625" i="1" l="1"/>
  <c r="E614" i="1"/>
  <c r="F611" i="1"/>
  <c r="M625" i="3"/>
  <c r="L626" i="3"/>
  <c r="M626" i="3" l="1"/>
  <c r="B625" i="1" s="1"/>
  <c r="L627" i="3"/>
  <c r="A626" i="1"/>
  <c r="B624" i="1"/>
  <c r="E615" i="1"/>
  <c r="F612" i="1"/>
  <c r="M627" i="3" l="1"/>
  <c r="L628" i="3"/>
  <c r="A627" i="1"/>
  <c r="E616" i="1"/>
  <c r="F613" i="1"/>
  <c r="M628" i="3" l="1"/>
  <c r="L629" i="3"/>
  <c r="A628" i="1"/>
  <c r="E617" i="1"/>
  <c r="F614" i="1"/>
  <c r="B626" i="1"/>
  <c r="M629" i="3" l="1"/>
  <c r="L630" i="3"/>
  <c r="A629" i="1"/>
  <c r="E618" i="1"/>
  <c r="F615" i="1"/>
  <c r="B627" i="1"/>
  <c r="B628" i="1" l="1"/>
  <c r="A630" i="1"/>
  <c r="E619" i="1"/>
  <c r="F616" i="1"/>
  <c r="M630" i="3"/>
  <c r="L631" i="3"/>
  <c r="B629" i="1" l="1"/>
  <c r="A631" i="1"/>
  <c r="E620" i="1"/>
  <c r="F617" i="1"/>
  <c r="L632" i="3"/>
  <c r="M631" i="3"/>
  <c r="L633" i="3" l="1"/>
  <c r="M632" i="3"/>
  <c r="B630" i="1"/>
  <c r="A632" i="1"/>
  <c r="E621" i="1"/>
  <c r="F618" i="1"/>
  <c r="B631" i="1"/>
  <c r="A633" i="1" l="1"/>
  <c r="E622" i="1"/>
  <c r="F619" i="1"/>
  <c r="M633" i="3"/>
  <c r="L634" i="3"/>
  <c r="L635" i="3" l="1"/>
  <c r="M634" i="3"/>
  <c r="B632" i="1"/>
  <c r="A634" i="1"/>
  <c r="E623" i="1"/>
  <c r="F620" i="1"/>
  <c r="B633" i="1"/>
  <c r="A635" i="1" l="1"/>
  <c r="E624" i="1"/>
  <c r="F621" i="1"/>
  <c r="L636" i="3"/>
  <c r="M635" i="3"/>
  <c r="A636" i="1" l="1"/>
  <c r="E625" i="1"/>
  <c r="B634" i="1"/>
  <c r="F622" i="1"/>
  <c r="L637" i="3"/>
  <c r="M636" i="3"/>
  <c r="B635" i="1" s="1"/>
  <c r="M637" i="3" l="1"/>
  <c r="L638" i="3"/>
  <c r="A637" i="1"/>
  <c r="E626" i="1"/>
  <c r="F623" i="1"/>
  <c r="M638" i="3" l="1"/>
  <c r="L639" i="3"/>
  <c r="B636" i="1"/>
  <c r="A638" i="1"/>
  <c r="E627" i="1"/>
  <c r="F624" i="1"/>
  <c r="L640" i="3" l="1"/>
  <c r="M639" i="3"/>
  <c r="B638" i="1"/>
  <c r="A639" i="1"/>
  <c r="B637" i="1"/>
  <c r="E628" i="1"/>
  <c r="F625" i="1"/>
  <c r="A640" i="1" l="1"/>
  <c r="E629" i="1"/>
  <c r="F626" i="1"/>
  <c r="M640" i="3"/>
  <c r="L641" i="3"/>
  <c r="L642" i="3" l="1"/>
  <c r="M641" i="3"/>
  <c r="A641" i="1"/>
  <c r="E630" i="1"/>
  <c r="F627" i="1"/>
  <c r="B639" i="1"/>
  <c r="B640" i="1" l="1"/>
  <c r="A642" i="1"/>
  <c r="E631" i="1"/>
  <c r="F628" i="1"/>
  <c r="M642" i="3"/>
  <c r="L643" i="3"/>
  <c r="A643" i="1" l="1"/>
  <c r="E632" i="1"/>
  <c r="F629" i="1"/>
  <c r="L644" i="3"/>
  <c r="M643" i="3"/>
  <c r="B641" i="1"/>
  <c r="A644" i="1" l="1"/>
  <c r="E633" i="1"/>
  <c r="F630" i="1"/>
  <c r="B642" i="1"/>
  <c r="M644" i="3"/>
  <c r="L645" i="3"/>
  <c r="B643" i="1"/>
  <c r="L646" i="3" l="1"/>
  <c r="M645" i="3"/>
  <c r="A645" i="1"/>
  <c r="E634" i="1"/>
  <c r="F631" i="1"/>
  <c r="L647" i="3" l="1"/>
  <c r="M646" i="3"/>
  <c r="A646" i="1"/>
  <c r="B644" i="1"/>
  <c r="E635" i="1"/>
  <c r="F632" i="1"/>
  <c r="B645" i="1" l="1"/>
  <c r="A647" i="1"/>
  <c r="E636" i="1"/>
  <c r="F633" i="1"/>
  <c r="L648" i="3"/>
  <c r="M647" i="3"/>
  <c r="A648" i="1" l="1"/>
  <c r="B646" i="1"/>
  <c r="E637" i="1"/>
  <c r="F634" i="1"/>
  <c r="M648" i="3"/>
  <c r="B647" i="1" s="1"/>
  <c r="L649" i="3"/>
  <c r="A649" i="1" l="1"/>
  <c r="E638" i="1"/>
  <c r="F635" i="1"/>
  <c r="L650" i="3"/>
  <c r="M649" i="3"/>
  <c r="M650" i="3" l="1"/>
  <c r="L651" i="3"/>
  <c r="B648" i="1"/>
  <c r="A650" i="1"/>
  <c r="E639" i="1"/>
  <c r="F636" i="1"/>
  <c r="L652" i="3" l="1"/>
  <c r="M651" i="3"/>
  <c r="A651" i="1"/>
  <c r="B649" i="1"/>
  <c r="E640" i="1"/>
  <c r="F637" i="1"/>
  <c r="M652" i="3" l="1"/>
  <c r="L653" i="3"/>
  <c r="A652" i="1"/>
  <c r="B650" i="1"/>
  <c r="E641" i="1"/>
  <c r="F638" i="1"/>
  <c r="B651" i="1"/>
  <c r="L654" i="3" l="1"/>
  <c r="M653" i="3"/>
  <c r="A653" i="1"/>
  <c r="E642" i="1"/>
  <c r="F639" i="1"/>
  <c r="A654" i="1" l="1"/>
  <c r="E643" i="1"/>
  <c r="B652" i="1"/>
  <c r="F640" i="1"/>
  <c r="M654" i="3"/>
  <c r="L655" i="3"/>
  <c r="M655" i="3" l="1"/>
  <c r="L656" i="3"/>
  <c r="A655" i="1"/>
  <c r="B653" i="1"/>
  <c r="E644" i="1"/>
  <c r="F641" i="1"/>
  <c r="B654" i="1"/>
  <c r="M656" i="3" l="1"/>
  <c r="L657" i="3"/>
  <c r="A656" i="1"/>
  <c r="E645" i="1"/>
  <c r="F642" i="1"/>
  <c r="A657" i="1" l="1"/>
  <c r="E646" i="1"/>
  <c r="B655" i="1"/>
  <c r="F643" i="1"/>
  <c r="M657" i="3"/>
  <c r="L658" i="3"/>
  <c r="M658" i="3" l="1"/>
  <c r="L659" i="3"/>
  <c r="B656" i="1"/>
  <c r="A658" i="1"/>
  <c r="E647" i="1"/>
  <c r="F644" i="1"/>
  <c r="M659" i="3" l="1"/>
  <c r="L660" i="3"/>
  <c r="A659" i="1"/>
  <c r="E648" i="1"/>
  <c r="B657" i="1"/>
  <c r="F645" i="1"/>
  <c r="M660" i="3" l="1"/>
  <c r="L661" i="3"/>
  <c r="A660" i="1"/>
  <c r="B658" i="1"/>
  <c r="E649" i="1"/>
  <c r="F646" i="1"/>
  <c r="L662" i="3" l="1"/>
  <c r="M661" i="3"/>
  <c r="B660" i="1" s="1"/>
  <c r="A661" i="1"/>
  <c r="E650" i="1"/>
  <c r="F647" i="1"/>
  <c r="B659" i="1"/>
  <c r="A662" i="1" l="1"/>
  <c r="E651" i="1"/>
  <c r="F648" i="1"/>
  <c r="M662" i="3"/>
  <c r="L663" i="3"/>
  <c r="A663" i="1" l="1"/>
  <c r="E652" i="1"/>
  <c r="F649" i="1"/>
  <c r="B661" i="1"/>
  <c r="L664" i="3"/>
  <c r="M663" i="3"/>
  <c r="B662" i="1" l="1"/>
  <c r="A664" i="1"/>
  <c r="E653" i="1"/>
  <c r="F650" i="1"/>
  <c r="M664" i="3"/>
  <c r="L665" i="3"/>
  <c r="B663" i="1" l="1"/>
  <c r="A665" i="1"/>
  <c r="E654" i="1"/>
  <c r="F651" i="1"/>
  <c r="L666" i="3"/>
  <c r="M665" i="3"/>
  <c r="B664" i="1" l="1"/>
  <c r="A666" i="1"/>
  <c r="E655" i="1"/>
  <c r="F652" i="1"/>
  <c r="M666" i="3"/>
  <c r="L667" i="3"/>
  <c r="M667" i="3" l="1"/>
  <c r="L668" i="3"/>
  <c r="A667" i="1"/>
  <c r="E656" i="1"/>
  <c r="B665" i="1"/>
  <c r="F653" i="1"/>
  <c r="L669" i="3" l="1"/>
  <c r="M668" i="3"/>
  <c r="A668" i="1"/>
  <c r="B666" i="1"/>
  <c r="E657" i="1"/>
  <c r="F654" i="1"/>
  <c r="L670" i="3" l="1"/>
  <c r="M669" i="3"/>
  <c r="A669" i="1"/>
  <c r="E658" i="1"/>
  <c r="B667" i="1"/>
  <c r="F655" i="1"/>
  <c r="A670" i="1" l="1"/>
  <c r="B668" i="1"/>
  <c r="E659" i="1"/>
  <c r="F656" i="1"/>
  <c r="L671" i="3"/>
  <c r="M670" i="3"/>
  <c r="M671" i="3" l="1"/>
  <c r="L672" i="3"/>
  <c r="A671" i="1"/>
  <c r="E660" i="1"/>
  <c r="B669" i="1"/>
  <c r="F657" i="1"/>
  <c r="M672" i="3" l="1"/>
  <c r="L673" i="3"/>
  <c r="A672" i="1"/>
  <c r="B670" i="1"/>
  <c r="E661" i="1"/>
  <c r="F658" i="1"/>
  <c r="M673" i="3" l="1"/>
  <c r="L674" i="3"/>
  <c r="A673" i="1"/>
  <c r="E662" i="1"/>
  <c r="F659" i="1"/>
  <c r="B671" i="1"/>
  <c r="L675" i="3" l="1"/>
  <c r="M674" i="3"/>
  <c r="B672" i="1"/>
  <c r="A674" i="1"/>
  <c r="E663" i="1"/>
  <c r="F660" i="1"/>
  <c r="A675" i="1" l="1"/>
  <c r="B673" i="1"/>
  <c r="E664" i="1"/>
  <c r="F661" i="1"/>
  <c r="M675" i="3"/>
  <c r="L676" i="3"/>
  <c r="L677" i="3" l="1"/>
  <c r="M676" i="3"/>
  <c r="A676" i="1"/>
  <c r="E665" i="1"/>
  <c r="F662" i="1"/>
  <c r="B675" i="1"/>
  <c r="B674" i="1"/>
  <c r="A677" i="1" l="1"/>
  <c r="E666" i="1"/>
  <c r="F663" i="1"/>
  <c r="M677" i="3"/>
  <c r="L678" i="3"/>
  <c r="A678" i="1" l="1"/>
  <c r="E667" i="1"/>
  <c r="F664" i="1"/>
  <c r="B676" i="1"/>
  <c r="M678" i="3"/>
  <c r="L679" i="3"/>
  <c r="L680" i="3" l="1"/>
  <c r="M679" i="3"/>
  <c r="A679" i="1"/>
  <c r="E668" i="1"/>
  <c r="B677" i="1"/>
  <c r="F665" i="1"/>
  <c r="A680" i="1" l="1"/>
  <c r="B678" i="1"/>
  <c r="E669" i="1"/>
  <c r="F666" i="1"/>
  <c r="M680" i="3"/>
  <c r="L681" i="3"/>
  <c r="A681" i="1" l="1"/>
  <c r="E670" i="1"/>
  <c r="B679" i="1"/>
  <c r="F667" i="1"/>
  <c r="L682" i="3"/>
  <c r="M681" i="3"/>
  <c r="A682" i="1" l="1"/>
  <c r="B680" i="1"/>
  <c r="E671" i="1"/>
  <c r="F668" i="1"/>
  <c r="M682" i="3"/>
  <c r="L683" i="3"/>
  <c r="B681" i="1"/>
  <c r="M683" i="3" l="1"/>
  <c r="L684" i="3"/>
  <c r="A683" i="1"/>
  <c r="E672" i="1"/>
  <c r="F669" i="1"/>
  <c r="M684" i="3" l="1"/>
  <c r="B683" i="1" s="1"/>
  <c r="L685" i="3"/>
  <c r="A684" i="1"/>
  <c r="B682" i="1"/>
  <c r="E673" i="1"/>
  <c r="F670" i="1"/>
  <c r="A685" i="1" l="1"/>
  <c r="E674" i="1"/>
  <c r="F671" i="1"/>
  <c r="M685" i="3"/>
  <c r="L686" i="3"/>
  <c r="A686" i="1" l="1"/>
  <c r="E675" i="1"/>
  <c r="B684" i="1"/>
  <c r="F672" i="1"/>
  <c r="M686" i="3"/>
  <c r="L687" i="3"/>
  <c r="A687" i="1" l="1"/>
  <c r="B685" i="1"/>
  <c r="E676" i="1"/>
  <c r="F673" i="1"/>
  <c r="M687" i="3"/>
  <c r="L688" i="3"/>
  <c r="B686" i="1"/>
  <c r="A688" i="1" l="1"/>
  <c r="E677" i="1"/>
  <c r="F674" i="1"/>
  <c r="L689" i="3"/>
  <c r="M688" i="3"/>
  <c r="M689" i="3" l="1"/>
  <c r="L690" i="3"/>
  <c r="A689" i="1"/>
  <c r="E678" i="1"/>
  <c r="B687" i="1"/>
  <c r="F675" i="1"/>
  <c r="L691" i="3" l="1"/>
  <c r="M690" i="3"/>
  <c r="A690" i="1"/>
  <c r="B688" i="1"/>
  <c r="E679" i="1"/>
  <c r="F676" i="1"/>
  <c r="A691" i="1" l="1"/>
  <c r="E680" i="1"/>
  <c r="B689" i="1"/>
  <c r="F677" i="1"/>
  <c r="M691" i="3"/>
  <c r="L692" i="3"/>
  <c r="M692" i="3" l="1"/>
  <c r="L693" i="3"/>
  <c r="A692" i="1"/>
  <c r="B690" i="1"/>
  <c r="E681" i="1"/>
  <c r="F678" i="1"/>
  <c r="A693" i="1" l="1"/>
  <c r="E682" i="1"/>
  <c r="F679" i="1"/>
  <c r="M693" i="3"/>
  <c r="L694" i="3"/>
  <c r="B691" i="1"/>
  <c r="A694" i="1" l="1"/>
  <c r="E683" i="1"/>
  <c r="F680" i="1"/>
  <c r="M694" i="3"/>
  <c r="L695" i="3"/>
  <c r="B692" i="1"/>
  <c r="L696" i="3" l="1"/>
  <c r="M695" i="3"/>
  <c r="A695" i="1"/>
  <c r="E684" i="1"/>
  <c r="F681" i="1"/>
  <c r="B693" i="1"/>
  <c r="B694" i="1" l="1"/>
  <c r="A696" i="1"/>
  <c r="E685" i="1"/>
  <c r="F682" i="1"/>
  <c r="M696" i="3"/>
  <c r="L697" i="3"/>
  <c r="B695" i="1" l="1"/>
  <c r="A697" i="1"/>
  <c r="E686" i="1"/>
  <c r="F683" i="1"/>
  <c r="L698" i="3"/>
  <c r="M697" i="3"/>
  <c r="M698" i="3" l="1"/>
  <c r="L699" i="3"/>
  <c r="B696" i="1"/>
  <c r="A698" i="1"/>
  <c r="E687" i="1"/>
  <c r="F684" i="1"/>
  <c r="M699" i="3" l="1"/>
  <c r="L700" i="3"/>
  <c r="A699" i="1"/>
  <c r="E688" i="1"/>
  <c r="B697" i="1"/>
  <c r="F685" i="1"/>
  <c r="M700" i="3" l="1"/>
  <c r="L701" i="3"/>
  <c r="B698" i="1"/>
  <c r="A700" i="1"/>
  <c r="E689" i="1"/>
  <c r="F686" i="1"/>
  <c r="M701" i="3" l="1"/>
  <c r="L702" i="3"/>
  <c r="A701" i="1"/>
  <c r="E690" i="1"/>
  <c r="B699" i="1"/>
  <c r="F687" i="1"/>
  <c r="L703" i="3" l="1"/>
  <c r="M702" i="3"/>
  <c r="A702" i="1"/>
  <c r="B700" i="1"/>
  <c r="E691" i="1"/>
  <c r="F688" i="1"/>
  <c r="A703" i="1" l="1"/>
  <c r="E692" i="1"/>
  <c r="B701" i="1"/>
  <c r="F689" i="1"/>
  <c r="M703" i="3"/>
  <c r="L704" i="3"/>
  <c r="L705" i="3" l="1"/>
  <c r="M704" i="3"/>
  <c r="A704" i="1"/>
  <c r="B702" i="1"/>
  <c r="E693" i="1"/>
  <c r="F690" i="1"/>
  <c r="B703" i="1"/>
  <c r="A705" i="1" l="1"/>
  <c r="E694" i="1"/>
  <c r="F691" i="1"/>
  <c r="M705" i="3"/>
  <c r="L706" i="3"/>
  <c r="L707" i="3" l="1"/>
  <c r="M706" i="3"/>
  <c r="B704" i="1"/>
  <c r="A706" i="1"/>
  <c r="E695" i="1"/>
  <c r="F692" i="1"/>
  <c r="A707" i="1" l="1"/>
  <c r="B705" i="1"/>
  <c r="E696" i="1"/>
  <c r="F693" i="1"/>
  <c r="M707" i="3"/>
  <c r="L708" i="3"/>
  <c r="A708" i="1" l="1"/>
  <c r="E697" i="1"/>
  <c r="F694" i="1"/>
  <c r="L709" i="3"/>
  <c r="M708" i="3"/>
  <c r="B706" i="1"/>
  <c r="A709" i="1" l="1"/>
  <c r="E698" i="1"/>
  <c r="F695" i="1"/>
  <c r="M709" i="3"/>
  <c r="B708" i="1" s="1"/>
  <c r="L710" i="3"/>
  <c r="B707" i="1"/>
  <c r="L711" i="3" l="1"/>
  <c r="M710" i="3"/>
  <c r="A710" i="1"/>
  <c r="E699" i="1"/>
  <c r="F696" i="1"/>
  <c r="M711" i="3" l="1"/>
  <c r="L712" i="3"/>
  <c r="A711" i="1"/>
  <c r="E700" i="1"/>
  <c r="B709" i="1"/>
  <c r="F697" i="1"/>
  <c r="A712" i="1" l="1"/>
  <c r="B710" i="1"/>
  <c r="E701" i="1"/>
  <c r="F698" i="1"/>
  <c r="L713" i="3"/>
  <c r="M712" i="3"/>
  <c r="A713" i="1" l="1"/>
  <c r="E702" i="1"/>
  <c r="B711" i="1"/>
  <c r="F699" i="1"/>
  <c r="M713" i="3"/>
  <c r="L714" i="3"/>
  <c r="M714" i="3" l="1"/>
  <c r="L715" i="3"/>
  <c r="B713" i="1"/>
  <c r="B712" i="1"/>
  <c r="A714" i="1"/>
  <c r="E703" i="1"/>
  <c r="F700" i="1"/>
  <c r="M715" i="3" l="1"/>
  <c r="L716" i="3"/>
  <c r="A715" i="1"/>
  <c r="E704" i="1"/>
  <c r="F701" i="1"/>
  <c r="M716" i="3" l="1"/>
  <c r="L717" i="3"/>
  <c r="B714" i="1"/>
  <c r="A716" i="1"/>
  <c r="E705" i="1"/>
  <c r="F702" i="1"/>
  <c r="B715" i="1"/>
  <c r="L718" i="3" l="1"/>
  <c r="M717" i="3"/>
  <c r="A717" i="1"/>
  <c r="E706" i="1"/>
  <c r="F703" i="1"/>
  <c r="M718" i="3" l="1"/>
  <c r="L719" i="3"/>
  <c r="A718" i="1"/>
  <c r="E707" i="1"/>
  <c r="B716" i="1"/>
  <c r="F704" i="1"/>
  <c r="L720" i="3" l="1"/>
  <c r="M719" i="3"/>
  <c r="B717" i="1"/>
  <c r="A719" i="1"/>
  <c r="E708" i="1"/>
  <c r="F705" i="1"/>
  <c r="A720" i="1" l="1"/>
  <c r="B718" i="1"/>
  <c r="E709" i="1"/>
  <c r="F706" i="1"/>
  <c r="M720" i="3"/>
  <c r="L721" i="3"/>
  <c r="A721" i="1" l="1"/>
  <c r="E710" i="1"/>
  <c r="B719" i="1"/>
  <c r="F707" i="1"/>
  <c r="M721" i="3"/>
  <c r="L722" i="3"/>
  <c r="M722" i="3" l="1"/>
  <c r="L723" i="3"/>
  <c r="A722" i="1"/>
  <c r="B720" i="1"/>
  <c r="E711" i="1"/>
  <c r="F708" i="1"/>
  <c r="A723" i="1" l="1"/>
  <c r="E712" i="1"/>
  <c r="B721" i="1"/>
  <c r="F709" i="1"/>
  <c r="M723" i="3"/>
  <c r="L724" i="3"/>
  <c r="L725" i="3" l="1"/>
  <c r="M724" i="3"/>
  <c r="A724" i="1"/>
  <c r="B722" i="1"/>
  <c r="E713" i="1"/>
  <c r="F710" i="1"/>
  <c r="B723" i="1"/>
  <c r="A725" i="1" l="1"/>
  <c r="E714" i="1"/>
  <c r="F711" i="1"/>
  <c r="M725" i="3"/>
  <c r="L726" i="3"/>
  <c r="L727" i="3" l="1"/>
  <c r="M726" i="3"/>
  <c r="A726" i="1"/>
  <c r="E715" i="1"/>
  <c r="B724" i="1"/>
  <c r="F712" i="1"/>
  <c r="B725" i="1"/>
  <c r="A727" i="1" l="1"/>
  <c r="E716" i="1"/>
  <c r="F713" i="1"/>
  <c r="M727" i="3"/>
  <c r="L728" i="3"/>
  <c r="B726" i="1" l="1"/>
  <c r="A728" i="1"/>
  <c r="E717" i="1"/>
  <c r="F714" i="1"/>
  <c r="M728" i="3"/>
  <c r="L729" i="3"/>
  <c r="B727" i="1" l="1"/>
  <c r="A729" i="1"/>
  <c r="E718" i="1"/>
  <c r="F715" i="1"/>
  <c r="M729" i="3"/>
  <c r="L730" i="3"/>
  <c r="L731" i="3" l="1"/>
  <c r="M730" i="3"/>
  <c r="A730" i="1"/>
  <c r="B728" i="1"/>
  <c r="E719" i="1"/>
  <c r="F716" i="1"/>
  <c r="A731" i="1" l="1"/>
  <c r="E720" i="1"/>
  <c r="B729" i="1"/>
  <c r="F717" i="1"/>
  <c r="M731" i="3"/>
  <c r="L732" i="3"/>
  <c r="A732" i="1" l="1"/>
  <c r="B730" i="1"/>
  <c r="E721" i="1"/>
  <c r="F718" i="1"/>
  <c r="L733" i="3"/>
  <c r="M732" i="3"/>
  <c r="M733" i="3" l="1"/>
  <c r="L734" i="3"/>
  <c r="A733" i="1"/>
  <c r="E722" i="1"/>
  <c r="B731" i="1"/>
  <c r="F719" i="1"/>
  <c r="M734" i="3" l="1"/>
  <c r="L735" i="3"/>
  <c r="A734" i="1"/>
  <c r="B732" i="1"/>
  <c r="E723" i="1"/>
  <c r="F720" i="1"/>
  <c r="M735" i="3" l="1"/>
  <c r="L736" i="3"/>
  <c r="A735" i="1"/>
  <c r="E724" i="1"/>
  <c r="B733" i="1"/>
  <c r="F721" i="1"/>
  <c r="M736" i="3" l="1"/>
  <c r="L737" i="3"/>
  <c r="A736" i="1"/>
  <c r="B734" i="1"/>
  <c r="E725" i="1"/>
  <c r="F722" i="1"/>
  <c r="A737" i="1" l="1"/>
  <c r="E726" i="1"/>
  <c r="F723" i="1"/>
  <c r="L738" i="3"/>
  <c r="M737" i="3"/>
  <c r="B735" i="1"/>
  <c r="B736" i="1" l="1"/>
  <c r="A738" i="1"/>
  <c r="E727" i="1"/>
  <c r="F724" i="1"/>
  <c r="M738" i="3"/>
  <c r="L739" i="3"/>
  <c r="B737" i="1" l="1"/>
  <c r="A739" i="1"/>
  <c r="E728" i="1"/>
  <c r="F725" i="1"/>
  <c r="L740" i="3"/>
  <c r="M739" i="3"/>
  <c r="A740" i="1" l="1"/>
  <c r="B738" i="1"/>
  <c r="E729" i="1"/>
  <c r="F726" i="1"/>
  <c r="M740" i="3"/>
  <c r="L741" i="3"/>
  <c r="A741" i="1" l="1"/>
  <c r="E730" i="1"/>
  <c r="B739" i="1"/>
  <c r="F727" i="1"/>
  <c r="M741" i="3"/>
  <c r="L742" i="3"/>
  <c r="B740" i="1"/>
  <c r="A742" i="1" l="1"/>
  <c r="E731" i="1"/>
  <c r="F728" i="1"/>
  <c r="M742" i="3"/>
  <c r="L743" i="3"/>
  <c r="M743" i="3" l="1"/>
  <c r="L744" i="3"/>
  <c r="A743" i="1"/>
  <c r="E732" i="1"/>
  <c r="B741" i="1"/>
  <c r="F729" i="1"/>
  <c r="M744" i="3" l="1"/>
  <c r="L745" i="3"/>
  <c r="A744" i="1"/>
  <c r="B742" i="1"/>
  <c r="E733" i="1"/>
  <c r="F730" i="1"/>
  <c r="L746" i="3" l="1"/>
  <c r="M745" i="3"/>
  <c r="A745" i="1"/>
  <c r="E734" i="1"/>
  <c r="B743" i="1"/>
  <c r="F731" i="1"/>
  <c r="M746" i="3" l="1"/>
  <c r="L747" i="3"/>
  <c r="A746" i="1"/>
  <c r="B744" i="1"/>
  <c r="E735" i="1"/>
  <c r="F732" i="1"/>
  <c r="A747" i="1" l="1"/>
  <c r="E736" i="1"/>
  <c r="F733" i="1"/>
  <c r="B745" i="1"/>
  <c r="L748" i="3"/>
  <c r="M747" i="3"/>
  <c r="M748" i="3" l="1"/>
  <c r="L749" i="3"/>
  <c r="A748" i="1"/>
  <c r="B746" i="1"/>
  <c r="E737" i="1"/>
  <c r="F734" i="1"/>
  <c r="B747" i="1"/>
  <c r="L750" i="3" l="1"/>
  <c r="M749" i="3"/>
  <c r="A749" i="1"/>
  <c r="E738" i="1"/>
  <c r="F735" i="1"/>
  <c r="M750" i="3" l="1"/>
  <c r="L751" i="3"/>
  <c r="B749" i="1"/>
  <c r="A750" i="1"/>
  <c r="E739" i="1"/>
  <c r="B748" i="1"/>
  <c r="F736" i="1"/>
  <c r="L752" i="3" l="1"/>
  <c r="M751" i="3"/>
  <c r="A751" i="1"/>
  <c r="E740" i="1"/>
  <c r="F737" i="1"/>
  <c r="M752" i="3" l="1"/>
  <c r="L753" i="3"/>
  <c r="B750" i="1"/>
  <c r="A752" i="1"/>
  <c r="E741" i="1"/>
  <c r="F738" i="1"/>
  <c r="L754" i="3" l="1"/>
  <c r="M753" i="3"/>
  <c r="A753" i="1"/>
  <c r="E742" i="1"/>
  <c r="B751" i="1"/>
  <c r="F739" i="1"/>
  <c r="A754" i="1" l="1"/>
  <c r="B752" i="1"/>
  <c r="E743" i="1"/>
  <c r="F740" i="1"/>
  <c r="M754" i="3"/>
  <c r="B753" i="1" s="1"/>
  <c r="L755" i="3"/>
  <c r="A755" i="1" l="1"/>
  <c r="E744" i="1"/>
  <c r="F741" i="1"/>
  <c r="M755" i="3"/>
  <c r="L756" i="3"/>
  <c r="A756" i="1" l="1"/>
  <c r="B754" i="1"/>
  <c r="E745" i="1"/>
  <c r="F742" i="1"/>
  <c r="M756" i="3"/>
  <c r="B755" i="1" s="1"/>
  <c r="L757" i="3"/>
  <c r="M757" i="3" l="1"/>
  <c r="L758" i="3"/>
  <c r="A757" i="1"/>
  <c r="E746" i="1"/>
  <c r="F743" i="1"/>
  <c r="L759" i="3" l="1"/>
  <c r="M758" i="3"/>
  <c r="A758" i="1"/>
  <c r="E747" i="1"/>
  <c r="B756" i="1"/>
  <c r="F744" i="1"/>
  <c r="B757" i="1"/>
  <c r="A759" i="1" l="1"/>
  <c r="E748" i="1"/>
  <c r="F745" i="1"/>
  <c r="M759" i="3"/>
  <c r="L760" i="3"/>
  <c r="A760" i="1" l="1"/>
  <c r="B758" i="1"/>
  <c r="E749" i="1"/>
  <c r="F746" i="1"/>
  <c r="L761" i="3"/>
  <c r="M760" i="3"/>
  <c r="A761" i="1" l="1"/>
  <c r="E750" i="1"/>
  <c r="F747" i="1"/>
  <c r="M761" i="3"/>
  <c r="L762" i="3"/>
  <c r="B759" i="1"/>
  <c r="B760" i="1" l="1"/>
  <c r="A762" i="1"/>
  <c r="E751" i="1"/>
  <c r="F748" i="1"/>
  <c r="L763" i="3"/>
  <c r="M762" i="3"/>
  <c r="B761" i="1" s="1"/>
  <c r="M763" i="3" l="1"/>
  <c r="L764" i="3"/>
  <c r="A763" i="1"/>
  <c r="E752" i="1"/>
  <c r="F749" i="1"/>
  <c r="A764" i="1" l="1"/>
  <c r="B762" i="1"/>
  <c r="E753" i="1"/>
  <c r="F750" i="1"/>
  <c r="L765" i="3"/>
  <c r="M764" i="3"/>
  <c r="M765" i="3" l="1"/>
  <c r="L766" i="3"/>
  <c r="A765" i="1"/>
  <c r="E754" i="1"/>
  <c r="B763" i="1"/>
  <c r="F751" i="1"/>
  <c r="M766" i="3" l="1"/>
  <c r="L767" i="3"/>
  <c r="A766" i="1"/>
  <c r="B764" i="1"/>
  <c r="E755" i="1"/>
  <c r="F752" i="1"/>
  <c r="A767" i="1" l="1"/>
  <c r="E756" i="1"/>
  <c r="F753" i="1"/>
  <c r="M767" i="3"/>
  <c r="L768" i="3"/>
  <c r="B765" i="1"/>
  <c r="M768" i="3" l="1"/>
  <c r="L769" i="3"/>
  <c r="A768" i="1"/>
  <c r="B766" i="1"/>
  <c r="E757" i="1"/>
  <c r="F754" i="1"/>
  <c r="B767" i="1"/>
  <c r="L770" i="3" l="1"/>
  <c r="M769" i="3"/>
  <c r="A769" i="1"/>
  <c r="E758" i="1"/>
  <c r="F755" i="1"/>
  <c r="B768" i="1" l="1"/>
  <c r="A770" i="1"/>
  <c r="E759" i="1"/>
  <c r="F756" i="1"/>
  <c r="M770" i="3"/>
  <c r="L771" i="3"/>
  <c r="A771" i="1" l="1"/>
  <c r="E760" i="1"/>
  <c r="F757" i="1"/>
  <c r="L772" i="3"/>
  <c r="M771" i="3"/>
  <c r="B769" i="1"/>
  <c r="M772" i="3" l="1"/>
  <c r="L773" i="3"/>
  <c r="B770" i="1"/>
  <c r="A772" i="1"/>
  <c r="E761" i="1"/>
  <c r="F758" i="1"/>
  <c r="L774" i="3" l="1"/>
  <c r="M773" i="3"/>
  <c r="A773" i="1"/>
  <c r="E762" i="1"/>
  <c r="B771" i="1"/>
  <c r="F759" i="1"/>
  <c r="A774" i="1" l="1"/>
  <c r="E763" i="1"/>
  <c r="B772" i="1"/>
  <c r="F760" i="1"/>
  <c r="M774" i="3"/>
  <c r="B773" i="1" s="1"/>
  <c r="L775" i="3"/>
  <c r="A775" i="1" l="1"/>
  <c r="E764" i="1"/>
  <c r="F761" i="1"/>
  <c r="L776" i="3"/>
  <c r="M775" i="3"/>
  <c r="A776" i="1" l="1"/>
  <c r="B774" i="1"/>
  <c r="E765" i="1"/>
  <c r="F762" i="1"/>
  <c r="M776" i="3"/>
  <c r="L777" i="3"/>
  <c r="A777" i="1" l="1"/>
  <c r="E766" i="1"/>
  <c r="F763" i="1"/>
  <c r="M777" i="3"/>
  <c r="L778" i="3"/>
  <c r="B775" i="1"/>
  <c r="A778" i="1" l="1"/>
  <c r="B776" i="1"/>
  <c r="E767" i="1"/>
  <c r="F764" i="1"/>
  <c r="M778" i="3"/>
  <c r="L779" i="3"/>
  <c r="B777" i="1"/>
  <c r="M779" i="3" l="1"/>
  <c r="L780" i="3"/>
  <c r="A779" i="1"/>
  <c r="E768" i="1"/>
  <c r="F765" i="1"/>
  <c r="A780" i="1" l="1"/>
  <c r="B778" i="1"/>
  <c r="E769" i="1"/>
  <c r="F766" i="1"/>
  <c r="L781" i="3"/>
  <c r="M780" i="3"/>
  <c r="M781" i="3" l="1"/>
  <c r="L782" i="3"/>
  <c r="A781" i="1"/>
  <c r="E770" i="1"/>
  <c r="B779" i="1"/>
  <c r="F767" i="1"/>
  <c r="L783" i="3" l="1"/>
  <c r="M782" i="3"/>
  <c r="A782" i="1"/>
  <c r="E771" i="1"/>
  <c r="B780" i="1"/>
  <c r="F768" i="1"/>
  <c r="B781" i="1" l="1"/>
  <c r="A783" i="1"/>
  <c r="E772" i="1"/>
  <c r="F769" i="1"/>
  <c r="M783" i="3"/>
  <c r="L784" i="3"/>
  <c r="M784" i="3" l="1"/>
  <c r="L785" i="3"/>
  <c r="B783" i="1"/>
  <c r="A784" i="1"/>
  <c r="B782" i="1"/>
  <c r="E773" i="1"/>
  <c r="F770" i="1"/>
  <c r="M785" i="3" l="1"/>
  <c r="L786" i="3"/>
  <c r="A785" i="1"/>
  <c r="E774" i="1"/>
  <c r="F771" i="1"/>
  <c r="M786" i="3" l="1"/>
  <c r="L787" i="3"/>
  <c r="B784" i="1"/>
  <c r="A786" i="1"/>
  <c r="E775" i="1"/>
  <c r="F772" i="1"/>
  <c r="L788" i="3" l="1"/>
  <c r="M787" i="3"/>
  <c r="A787" i="1"/>
  <c r="E776" i="1"/>
  <c r="F773" i="1"/>
  <c r="B785" i="1"/>
  <c r="B786" i="1" l="1"/>
  <c r="A788" i="1"/>
  <c r="E777" i="1"/>
  <c r="F774" i="1"/>
  <c r="M788" i="3"/>
  <c r="L789" i="3"/>
  <c r="A789" i="1" l="1"/>
  <c r="E778" i="1"/>
  <c r="F775" i="1"/>
  <c r="L790" i="3"/>
  <c r="M789" i="3"/>
  <c r="B787" i="1"/>
  <c r="A790" i="1" l="1"/>
  <c r="E779" i="1"/>
  <c r="B788" i="1"/>
  <c r="F776" i="1"/>
  <c r="M790" i="3"/>
  <c r="L791" i="3"/>
  <c r="B789" i="1"/>
  <c r="M791" i="3" l="1"/>
  <c r="L792" i="3"/>
  <c r="A791" i="1"/>
  <c r="E780" i="1"/>
  <c r="F777" i="1"/>
  <c r="M792" i="3" l="1"/>
  <c r="L793" i="3"/>
  <c r="B790" i="1"/>
  <c r="A792" i="1"/>
  <c r="E781" i="1"/>
  <c r="F778" i="1"/>
  <c r="B791" i="1"/>
  <c r="M793" i="3" l="1"/>
  <c r="L794" i="3"/>
  <c r="A793" i="1"/>
  <c r="E782" i="1"/>
  <c r="F779" i="1"/>
  <c r="A794" i="1" l="1"/>
  <c r="B792" i="1"/>
  <c r="E783" i="1"/>
  <c r="F780" i="1"/>
  <c r="L795" i="3"/>
  <c r="M794" i="3"/>
  <c r="M795" i="3" l="1"/>
  <c r="L796" i="3"/>
  <c r="A795" i="1"/>
  <c r="E784" i="1"/>
  <c r="F781" i="1"/>
  <c r="B793" i="1"/>
  <c r="L797" i="3" l="1"/>
  <c r="M796" i="3"/>
  <c r="B794" i="1"/>
  <c r="A796" i="1"/>
  <c r="E785" i="1"/>
  <c r="F782" i="1"/>
  <c r="A797" i="1" l="1"/>
  <c r="E786" i="1"/>
  <c r="B795" i="1"/>
  <c r="F783" i="1"/>
  <c r="M797" i="3"/>
  <c r="L798" i="3"/>
  <c r="B796" i="1" l="1"/>
  <c r="A798" i="1"/>
  <c r="E787" i="1"/>
  <c r="F784" i="1"/>
  <c r="L799" i="3"/>
  <c r="M798" i="3"/>
  <c r="B797" i="1" s="1"/>
  <c r="M799" i="3" l="1"/>
  <c r="L800" i="3"/>
  <c r="A799" i="1"/>
  <c r="E788" i="1"/>
  <c r="F785" i="1"/>
  <c r="A800" i="1" l="1"/>
  <c r="B798" i="1"/>
  <c r="E789" i="1"/>
  <c r="F786" i="1"/>
  <c r="M800" i="3"/>
  <c r="L801" i="3"/>
  <c r="A801" i="1" l="1"/>
  <c r="E790" i="1"/>
  <c r="F787" i="1"/>
  <c r="M801" i="3"/>
  <c r="L802" i="3"/>
  <c r="B799" i="1"/>
  <c r="M802" i="3" l="1"/>
  <c r="L803" i="3"/>
  <c r="A802" i="1"/>
  <c r="B800" i="1"/>
  <c r="E791" i="1"/>
  <c r="F788" i="1"/>
  <c r="B801" i="1"/>
  <c r="M803" i="3" l="1"/>
  <c r="L804" i="3"/>
  <c r="A803" i="1"/>
  <c r="E792" i="1"/>
  <c r="F789" i="1"/>
  <c r="L805" i="3" l="1"/>
  <c r="M804" i="3"/>
  <c r="A804" i="1"/>
  <c r="B802" i="1"/>
  <c r="E793" i="1"/>
  <c r="F790" i="1"/>
  <c r="A805" i="1" l="1"/>
  <c r="E794" i="1"/>
  <c r="B803" i="1"/>
  <c r="F791" i="1"/>
  <c r="M805" i="3"/>
  <c r="L806" i="3"/>
  <c r="L807" i="3" l="1"/>
  <c r="M806" i="3"/>
  <c r="B805" i="1" s="1"/>
  <c r="A806" i="1"/>
  <c r="E795" i="1"/>
  <c r="B804" i="1"/>
  <c r="F792" i="1"/>
  <c r="A807" i="1" l="1"/>
  <c r="E796" i="1"/>
  <c r="F793" i="1"/>
  <c r="M807" i="3"/>
  <c r="L808" i="3"/>
  <c r="L809" i="3" l="1"/>
  <c r="M808" i="3"/>
  <c r="A808" i="1"/>
  <c r="B806" i="1"/>
  <c r="E797" i="1"/>
  <c r="F794" i="1"/>
  <c r="B807" i="1"/>
  <c r="A809" i="1" l="1"/>
  <c r="E798" i="1"/>
  <c r="F795" i="1"/>
  <c r="M809" i="3"/>
  <c r="L810" i="3"/>
  <c r="B808" i="1" l="1"/>
  <c r="A810" i="1"/>
  <c r="E799" i="1"/>
  <c r="F796" i="1"/>
  <c r="L811" i="3"/>
  <c r="M810" i="3"/>
  <c r="B809" i="1" s="1"/>
  <c r="M811" i="3" l="1"/>
  <c r="L812" i="3"/>
  <c r="A811" i="1"/>
  <c r="E800" i="1"/>
  <c r="F797" i="1"/>
  <c r="M812" i="3" l="1"/>
  <c r="L813" i="3"/>
  <c r="B810" i="1"/>
  <c r="A812" i="1"/>
  <c r="E801" i="1"/>
  <c r="F798" i="1"/>
  <c r="B811" i="1"/>
  <c r="M813" i="3" l="1"/>
  <c r="L814" i="3"/>
  <c r="A813" i="1"/>
  <c r="E802" i="1"/>
  <c r="F799" i="1"/>
  <c r="M814" i="3" l="1"/>
  <c r="L815" i="3"/>
  <c r="A814" i="1"/>
  <c r="B812" i="1"/>
  <c r="E803" i="1"/>
  <c r="F800" i="1"/>
  <c r="L816" i="3" l="1"/>
  <c r="M815" i="3"/>
  <c r="A815" i="1"/>
  <c r="E804" i="1"/>
  <c r="F801" i="1"/>
  <c r="B813" i="1"/>
  <c r="A816" i="1" l="1"/>
  <c r="B814" i="1"/>
  <c r="E805" i="1"/>
  <c r="F802" i="1"/>
  <c r="M816" i="3"/>
  <c r="L817" i="3"/>
  <c r="A817" i="1" l="1"/>
  <c r="E806" i="1"/>
  <c r="F803" i="1"/>
  <c r="B815" i="1"/>
  <c r="M817" i="3"/>
  <c r="L818" i="3"/>
  <c r="A818" i="1" l="1"/>
  <c r="B816" i="1"/>
  <c r="E807" i="1"/>
  <c r="F804" i="1"/>
  <c r="M818" i="3"/>
  <c r="L819" i="3"/>
  <c r="A819" i="1" l="1"/>
  <c r="E808" i="1"/>
  <c r="F805" i="1"/>
  <c r="B817" i="1"/>
  <c r="M819" i="3"/>
  <c r="L820" i="3"/>
  <c r="L821" i="3" l="1"/>
  <c r="M820" i="3"/>
  <c r="A820" i="1"/>
  <c r="B818" i="1"/>
  <c r="E809" i="1"/>
  <c r="F806" i="1"/>
  <c r="B819" i="1"/>
  <c r="A821" i="1" l="1"/>
  <c r="E810" i="1"/>
  <c r="F807" i="1"/>
  <c r="M821" i="3"/>
  <c r="L822" i="3"/>
  <c r="L823" i="3" l="1"/>
  <c r="M822" i="3"/>
  <c r="A822" i="1"/>
  <c r="B820" i="1"/>
  <c r="E811" i="1"/>
  <c r="F808" i="1"/>
  <c r="A823" i="1" l="1"/>
  <c r="E812" i="1"/>
  <c r="F809" i="1"/>
  <c r="M823" i="3"/>
  <c r="L824" i="3"/>
  <c r="B821" i="1"/>
  <c r="L825" i="3" l="1"/>
  <c r="M824" i="3"/>
  <c r="B823" i="1"/>
  <c r="A824" i="1"/>
  <c r="B822" i="1"/>
  <c r="E813" i="1"/>
  <c r="F810" i="1"/>
  <c r="A825" i="1" l="1"/>
  <c r="E814" i="1"/>
  <c r="F811" i="1"/>
  <c r="M825" i="3"/>
  <c r="L826" i="3"/>
  <c r="A826" i="1" l="1"/>
  <c r="E815" i="1"/>
  <c r="F812" i="1"/>
  <c r="B824" i="1"/>
  <c r="L827" i="3"/>
  <c r="M826" i="3"/>
  <c r="A827" i="1" l="1"/>
  <c r="E816" i="1"/>
  <c r="F813" i="1"/>
  <c r="B825" i="1"/>
  <c r="M827" i="3"/>
  <c r="L828" i="3"/>
  <c r="L829" i="3" l="1"/>
  <c r="M828" i="3"/>
  <c r="A828" i="1"/>
  <c r="B826" i="1"/>
  <c r="E817" i="1"/>
  <c r="F814" i="1"/>
  <c r="B827" i="1" l="1"/>
  <c r="A829" i="1"/>
  <c r="E818" i="1"/>
  <c r="F815" i="1"/>
  <c r="M829" i="3"/>
  <c r="L830" i="3"/>
  <c r="L831" i="3" l="1"/>
  <c r="M830" i="3"/>
  <c r="B829" i="1"/>
  <c r="A830" i="1"/>
  <c r="B828" i="1"/>
  <c r="E819" i="1"/>
  <c r="F816" i="1"/>
  <c r="A831" i="1" l="1"/>
  <c r="E820" i="1"/>
  <c r="F817" i="1"/>
  <c r="M831" i="3"/>
  <c r="L832" i="3"/>
  <c r="M832" i="3" l="1"/>
  <c r="B831" i="1" s="1"/>
  <c r="L833" i="3"/>
  <c r="A832" i="1"/>
  <c r="B830" i="1"/>
  <c r="E821" i="1"/>
  <c r="F818" i="1"/>
  <c r="M833" i="3" l="1"/>
  <c r="B832" i="1" s="1"/>
  <c r="L834" i="3"/>
  <c r="A833" i="1"/>
  <c r="E822" i="1"/>
  <c r="F819" i="1"/>
  <c r="M834" i="3" l="1"/>
  <c r="L835" i="3"/>
  <c r="A834" i="1"/>
  <c r="E823" i="1"/>
  <c r="F820" i="1"/>
  <c r="A835" i="1" l="1"/>
  <c r="E824" i="1"/>
  <c r="F821" i="1"/>
  <c r="M835" i="3"/>
  <c r="L836" i="3"/>
  <c r="B833" i="1"/>
  <c r="A836" i="1" l="1"/>
  <c r="B834" i="1"/>
  <c r="E825" i="1"/>
  <c r="F822" i="1"/>
  <c r="M836" i="3"/>
  <c r="L837" i="3"/>
  <c r="L838" i="3" l="1"/>
  <c r="M837" i="3"/>
  <c r="B835" i="1"/>
  <c r="A837" i="1"/>
  <c r="E826" i="1"/>
  <c r="F823" i="1"/>
  <c r="A838" i="1" l="1"/>
  <c r="B836" i="1"/>
  <c r="E827" i="1"/>
  <c r="F824" i="1"/>
  <c r="M838" i="3"/>
  <c r="L839" i="3"/>
  <c r="A839" i="1" l="1"/>
  <c r="E828" i="1"/>
  <c r="F825" i="1"/>
  <c r="L840" i="3"/>
  <c r="M839" i="3"/>
  <c r="B837" i="1"/>
  <c r="M840" i="3" l="1"/>
  <c r="L841" i="3"/>
  <c r="B839" i="1"/>
  <c r="A840" i="1"/>
  <c r="B838" i="1"/>
  <c r="E829" i="1"/>
  <c r="F826" i="1"/>
  <c r="L842" i="3" l="1"/>
  <c r="M841" i="3"/>
  <c r="A841" i="1"/>
  <c r="E830" i="1"/>
  <c r="F827" i="1"/>
  <c r="M842" i="3" l="1"/>
  <c r="B841" i="1" s="1"/>
  <c r="L843" i="3"/>
  <c r="B840" i="1"/>
  <c r="A842" i="1"/>
  <c r="E831" i="1"/>
  <c r="F828" i="1"/>
  <c r="L844" i="3" l="1"/>
  <c r="M843" i="3"/>
  <c r="A843" i="1"/>
  <c r="E832" i="1"/>
  <c r="F829" i="1"/>
  <c r="B842" i="1" l="1"/>
  <c r="A844" i="1"/>
  <c r="E833" i="1"/>
  <c r="F830" i="1"/>
  <c r="M844" i="3"/>
  <c r="L845" i="3"/>
  <c r="M845" i="3" l="1"/>
  <c r="L846" i="3"/>
  <c r="A845" i="1"/>
  <c r="E834" i="1"/>
  <c r="F831" i="1"/>
  <c r="B843" i="1"/>
  <c r="M846" i="3" l="1"/>
  <c r="L847" i="3"/>
  <c r="B845" i="1"/>
  <c r="A846" i="1"/>
  <c r="B844" i="1"/>
  <c r="E835" i="1"/>
  <c r="F832" i="1"/>
  <c r="M847" i="3" l="1"/>
  <c r="L848" i="3"/>
  <c r="A847" i="1"/>
  <c r="E836" i="1"/>
  <c r="F833" i="1"/>
  <c r="M848" i="3" l="1"/>
  <c r="L849" i="3"/>
  <c r="A848" i="1"/>
  <c r="B846" i="1"/>
  <c r="E837" i="1"/>
  <c r="F834" i="1"/>
  <c r="B847" i="1"/>
  <c r="M849" i="3" l="1"/>
  <c r="L850" i="3"/>
  <c r="A849" i="1"/>
  <c r="E838" i="1"/>
  <c r="F835" i="1"/>
  <c r="A850" i="1" l="1"/>
  <c r="B848" i="1"/>
  <c r="E839" i="1"/>
  <c r="F836" i="1"/>
  <c r="M850" i="3"/>
  <c r="B849" i="1" s="1"/>
  <c r="L851" i="3"/>
  <c r="M851" i="3" l="1"/>
  <c r="L852" i="3"/>
  <c r="A851" i="1"/>
  <c r="E840" i="1"/>
  <c r="F837" i="1"/>
  <c r="L853" i="3" l="1"/>
  <c r="M852" i="3"/>
  <c r="B851" i="1" s="1"/>
  <c r="A852" i="1"/>
  <c r="B850" i="1"/>
  <c r="E841" i="1"/>
  <c r="F838" i="1"/>
  <c r="A853" i="1" l="1"/>
  <c r="E842" i="1"/>
  <c r="F839" i="1"/>
  <c r="M853" i="3"/>
  <c r="L854" i="3"/>
  <c r="L855" i="3" l="1"/>
  <c r="M854" i="3"/>
  <c r="A854" i="1"/>
  <c r="B852" i="1"/>
  <c r="E843" i="1"/>
  <c r="F840" i="1"/>
  <c r="B853" i="1"/>
  <c r="A855" i="1" l="1"/>
  <c r="E844" i="1"/>
  <c r="F841" i="1"/>
  <c r="M855" i="3"/>
  <c r="L856" i="3"/>
  <c r="L857" i="3" l="1"/>
  <c r="M856" i="3"/>
  <c r="A856" i="1"/>
  <c r="B854" i="1"/>
  <c r="E845" i="1"/>
  <c r="F842" i="1"/>
  <c r="A857" i="1" l="1"/>
  <c r="E846" i="1"/>
  <c r="F843" i="1"/>
  <c r="M857" i="3"/>
  <c r="L858" i="3"/>
  <c r="B855" i="1"/>
  <c r="A858" i="1" l="1"/>
  <c r="E847" i="1"/>
  <c r="F844" i="1"/>
  <c r="L859" i="3"/>
  <c r="M858" i="3"/>
  <c r="B857" i="1" s="1"/>
  <c r="B856" i="1"/>
  <c r="M859" i="3" l="1"/>
  <c r="L860" i="3"/>
  <c r="A859" i="1"/>
  <c r="E848" i="1"/>
  <c r="F845" i="1"/>
  <c r="L861" i="3" l="1"/>
  <c r="M860" i="3"/>
  <c r="A860" i="1"/>
  <c r="B858" i="1"/>
  <c r="E849" i="1"/>
  <c r="F846" i="1"/>
  <c r="B859" i="1" l="1"/>
  <c r="A861" i="1"/>
  <c r="E850" i="1"/>
  <c r="F847" i="1"/>
  <c r="M861" i="3"/>
  <c r="L862" i="3"/>
  <c r="A862" i="1" l="1"/>
  <c r="B860" i="1"/>
  <c r="E851" i="1"/>
  <c r="F848" i="1"/>
  <c r="L863" i="3"/>
  <c r="M862" i="3"/>
  <c r="B861" i="1" s="1"/>
  <c r="M863" i="3" l="1"/>
  <c r="L864" i="3"/>
  <c r="A863" i="1"/>
  <c r="E852" i="1"/>
  <c r="F849" i="1"/>
  <c r="M864" i="3" l="1"/>
  <c r="L865" i="3"/>
  <c r="A864" i="1"/>
  <c r="B862" i="1"/>
  <c r="E853" i="1"/>
  <c r="F850" i="1"/>
  <c r="M865" i="3" l="1"/>
  <c r="L866" i="3"/>
  <c r="A865" i="1"/>
  <c r="E854" i="1"/>
  <c r="F851" i="1"/>
  <c r="B863" i="1"/>
  <c r="M866" i="3" l="1"/>
  <c r="L867" i="3"/>
  <c r="A866" i="1"/>
  <c r="E855" i="1"/>
  <c r="F852" i="1"/>
  <c r="B865" i="1"/>
  <c r="B864" i="1"/>
  <c r="M867" i="3" l="1"/>
  <c r="L868" i="3"/>
  <c r="A867" i="1"/>
  <c r="E856" i="1"/>
  <c r="F853" i="1"/>
  <c r="M868" i="3" l="1"/>
  <c r="L869" i="3"/>
  <c r="A868" i="1"/>
  <c r="B866" i="1"/>
  <c r="E857" i="1"/>
  <c r="F854" i="1"/>
  <c r="L870" i="3" l="1"/>
  <c r="M869" i="3"/>
  <c r="B867" i="1"/>
  <c r="A869" i="1"/>
  <c r="E858" i="1"/>
  <c r="F855" i="1"/>
  <c r="A870" i="1" l="1"/>
  <c r="B868" i="1"/>
  <c r="E859" i="1"/>
  <c r="F856" i="1"/>
  <c r="M870" i="3"/>
  <c r="L871" i="3"/>
  <c r="A871" i="1" l="1"/>
  <c r="E860" i="1"/>
  <c r="F857" i="1"/>
  <c r="L872" i="3"/>
  <c r="M871" i="3"/>
  <c r="B869" i="1"/>
  <c r="A872" i="1" l="1"/>
  <c r="B870" i="1"/>
  <c r="E861" i="1"/>
  <c r="F858" i="1"/>
  <c r="M872" i="3"/>
  <c r="L873" i="3"/>
  <c r="A873" i="1" l="1"/>
  <c r="E862" i="1"/>
  <c r="F859" i="1"/>
  <c r="B871" i="1"/>
  <c r="L874" i="3"/>
  <c r="M873" i="3"/>
  <c r="A874" i="1" l="1"/>
  <c r="B872" i="1"/>
  <c r="E863" i="1"/>
  <c r="F860" i="1"/>
  <c r="M874" i="3"/>
  <c r="L875" i="3"/>
  <c r="B873" i="1"/>
  <c r="L876" i="3" l="1"/>
  <c r="M875" i="3"/>
  <c r="A875" i="1"/>
  <c r="E864" i="1"/>
  <c r="F861" i="1"/>
  <c r="B874" i="1" l="1"/>
  <c r="A876" i="1"/>
  <c r="E865" i="1"/>
  <c r="F862" i="1"/>
  <c r="M876" i="3"/>
  <c r="L877" i="3"/>
  <c r="M877" i="3" l="1"/>
  <c r="L878" i="3"/>
  <c r="B875" i="1"/>
  <c r="A877" i="1"/>
  <c r="E866" i="1"/>
  <c r="F863" i="1"/>
  <c r="M878" i="3" l="1"/>
  <c r="L879" i="3"/>
  <c r="A878" i="1"/>
  <c r="B876" i="1"/>
  <c r="E867" i="1"/>
  <c r="F864" i="1"/>
  <c r="A879" i="1" l="1"/>
  <c r="E868" i="1"/>
  <c r="F865" i="1"/>
  <c r="B877" i="1"/>
  <c r="M879" i="3"/>
  <c r="L880" i="3"/>
  <c r="B878" i="1" l="1"/>
  <c r="A880" i="1"/>
  <c r="E869" i="1"/>
  <c r="F866" i="1"/>
  <c r="M880" i="3"/>
  <c r="L881" i="3"/>
  <c r="A881" i="1" l="1"/>
  <c r="B879" i="1"/>
  <c r="E870" i="1"/>
  <c r="F867" i="1"/>
  <c r="M881" i="3"/>
  <c r="L882" i="3"/>
  <c r="M882" i="3" l="1"/>
  <c r="L883" i="3"/>
  <c r="A882" i="1"/>
  <c r="E871" i="1"/>
  <c r="B880" i="1"/>
  <c r="F868" i="1"/>
  <c r="B881" i="1"/>
  <c r="M883" i="3" l="1"/>
  <c r="L884" i="3"/>
  <c r="A883" i="1"/>
  <c r="E872" i="1"/>
  <c r="F869" i="1"/>
  <c r="L885" i="3" l="1"/>
  <c r="M884" i="3"/>
  <c r="A884" i="1"/>
  <c r="B882" i="1"/>
  <c r="E873" i="1"/>
  <c r="F870" i="1"/>
  <c r="A885" i="1" l="1"/>
  <c r="E874" i="1"/>
  <c r="B883" i="1"/>
  <c r="F871" i="1"/>
  <c r="M885" i="3"/>
  <c r="B884" i="1" s="1"/>
  <c r="L886" i="3"/>
  <c r="A886" i="1" l="1"/>
  <c r="E875" i="1"/>
  <c r="F872" i="1"/>
  <c r="L887" i="3"/>
  <c r="M886" i="3"/>
  <c r="M887" i="3" l="1"/>
  <c r="L888" i="3"/>
  <c r="A887" i="1"/>
  <c r="E876" i="1"/>
  <c r="B885" i="1"/>
  <c r="F873" i="1"/>
  <c r="L889" i="3" l="1"/>
  <c r="M888" i="3"/>
  <c r="B887" i="1"/>
  <c r="A888" i="1"/>
  <c r="B886" i="1"/>
  <c r="E877" i="1"/>
  <c r="F874" i="1"/>
  <c r="A889" i="1" l="1"/>
  <c r="E878" i="1"/>
  <c r="F875" i="1"/>
  <c r="M889" i="3"/>
  <c r="L890" i="3"/>
  <c r="L891" i="3" l="1"/>
  <c r="M890" i="3"/>
  <c r="B888" i="1"/>
  <c r="A890" i="1"/>
  <c r="E879" i="1"/>
  <c r="F876" i="1"/>
  <c r="A891" i="1" l="1"/>
  <c r="E880" i="1"/>
  <c r="F877" i="1"/>
  <c r="M891" i="3"/>
  <c r="L892" i="3"/>
  <c r="B889" i="1"/>
  <c r="M892" i="3" l="1"/>
  <c r="L893" i="3"/>
  <c r="B890" i="1"/>
  <c r="A892" i="1"/>
  <c r="E881" i="1"/>
  <c r="F878" i="1"/>
  <c r="M893" i="3" l="1"/>
  <c r="L894" i="3"/>
  <c r="B891" i="1"/>
  <c r="A893" i="1"/>
  <c r="E882" i="1"/>
  <c r="F879" i="1"/>
  <c r="L895" i="3" l="1"/>
  <c r="M894" i="3"/>
  <c r="B892" i="1"/>
  <c r="A894" i="1"/>
  <c r="E883" i="1"/>
  <c r="F880" i="1"/>
  <c r="A895" i="1" l="1"/>
  <c r="E884" i="1"/>
  <c r="F881" i="1"/>
  <c r="M895" i="3"/>
  <c r="L896" i="3"/>
  <c r="B893" i="1"/>
  <c r="L897" i="3" l="1"/>
  <c r="M896" i="3"/>
  <c r="B894" i="1"/>
  <c r="A896" i="1"/>
  <c r="E885" i="1"/>
  <c r="F882" i="1"/>
  <c r="M897" i="3" l="1"/>
  <c r="L898" i="3"/>
  <c r="A897" i="1"/>
  <c r="B895" i="1"/>
  <c r="E886" i="1"/>
  <c r="F883" i="1"/>
  <c r="L899" i="3" l="1"/>
  <c r="M898" i="3"/>
  <c r="A898" i="1"/>
  <c r="E887" i="1"/>
  <c r="B896" i="1"/>
  <c r="F884" i="1"/>
  <c r="B897" i="1"/>
  <c r="A899" i="1" l="1"/>
  <c r="E888" i="1"/>
  <c r="F885" i="1"/>
  <c r="M899" i="3"/>
  <c r="L900" i="3"/>
  <c r="M900" i="3" l="1"/>
  <c r="L901" i="3"/>
  <c r="A900" i="1"/>
  <c r="B898" i="1"/>
  <c r="E889" i="1"/>
  <c r="F886" i="1"/>
  <c r="M901" i="3" l="1"/>
  <c r="L902" i="3"/>
  <c r="B900" i="1"/>
  <c r="A901" i="1"/>
  <c r="E890" i="1"/>
  <c r="B899" i="1"/>
  <c r="F887" i="1"/>
  <c r="L903" i="3" l="1"/>
  <c r="M902" i="3"/>
  <c r="A902" i="1"/>
  <c r="E891" i="1"/>
  <c r="F888" i="1"/>
  <c r="A903" i="1" l="1"/>
  <c r="E892" i="1"/>
  <c r="B901" i="1"/>
  <c r="F889" i="1"/>
  <c r="M903" i="3"/>
  <c r="L904" i="3"/>
  <c r="L905" i="3" l="1"/>
  <c r="M904" i="3"/>
  <c r="A904" i="1"/>
  <c r="B902" i="1"/>
  <c r="E893" i="1"/>
  <c r="F890" i="1"/>
  <c r="B903" i="1"/>
  <c r="A905" i="1" l="1"/>
  <c r="E894" i="1"/>
  <c r="F891" i="1"/>
  <c r="M905" i="3"/>
  <c r="L906" i="3"/>
  <c r="L907" i="3" l="1"/>
  <c r="M906" i="3"/>
  <c r="B904" i="1"/>
  <c r="A906" i="1"/>
  <c r="E895" i="1"/>
  <c r="F892" i="1"/>
  <c r="B905" i="1"/>
  <c r="A907" i="1" l="1"/>
  <c r="E896" i="1"/>
  <c r="F893" i="1"/>
  <c r="M907" i="3"/>
  <c r="L908" i="3"/>
  <c r="L909" i="3" l="1"/>
  <c r="M908" i="3"/>
  <c r="B906" i="1"/>
  <c r="A908" i="1"/>
  <c r="E897" i="1"/>
  <c r="F894" i="1"/>
  <c r="B907" i="1" l="1"/>
  <c r="A909" i="1"/>
  <c r="E898" i="1"/>
  <c r="F895" i="1"/>
  <c r="M909" i="3"/>
  <c r="L910" i="3"/>
  <c r="L911" i="3" l="1"/>
  <c r="M910" i="3"/>
  <c r="A910" i="1"/>
  <c r="B908" i="1"/>
  <c r="E899" i="1"/>
  <c r="F896" i="1"/>
  <c r="B909" i="1"/>
  <c r="A911" i="1" l="1"/>
  <c r="E900" i="1"/>
  <c r="F897" i="1"/>
  <c r="M911" i="3"/>
  <c r="L912" i="3"/>
  <c r="B910" i="1" l="1"/>
  <c r="A912" i="1"/>
  <c r="E901" i="1"/>
  <c r="F898" i="1"/>
  <c r="M912" i="3"/>
  <c r="L913" i="3"/>
  <c r="A913" i="1" l="1"/>
  <c r="B911" i="1"/>
  <c r="E902" i="1"/>
  <c r="F899" i="1"/>
  <c r="L914" i="3"/>
  <c r="M913" i="3"/>
  <c r="A914" i="1" l="1"/>
  <c r="E903" i="1"/>
  <c r="B912" i="1"/>
  <c r="F900" i="1"/>
  <c r="M914" i="3"/>
  <c r="L915" i="3"/>
  <c r="B913" i="1"/>
  <c r="L916" i="3" l="1"/>
  <c r="M915" i="3"/>
  <c r="A915" i="1"/>
  <c r="E904" i="1"/>
  <c r="F901" i="1"/>
  <c r="A916" i="1" l="1"/>
  <c r="B914" i="1"/>
  <c r="E905" i="1"/>
  <c r="F902" i="1"/>
  <c r="M916" i="3"/>
  <c r="L917" i="3"/>
  <c r="A917" i="1" l="1"/>
  <c r="E906" i="1"/>
  <c r="B915" i="1"/>
  <c r="F903" i="1"/>
  <c r="L918" i="3"/>
  <c r="M917" i="3"/>
  <c r="B916" i="1" s="1"/>
  <c r="M918" i="3" l="1"/>
  <c r="L919" i="3"/>
  <c r="A918" i="1"/>
  <c r="E907" i="1"/>
  <c r="F904" i="1"/>
  <c r="L920" i="3" l="1"/>
  <c r="M919" i="3"/>
  <c r="A919" i="1"/>
  <c r="E908" i="1"/>
  <c r="B917" i="1"/>
  <c r="F905" i="1"/>
  <c r="A920" i="1" l="1"/>
  <c r="B918" i="1"/>
  <c r="E909" i="1"/>
  <c r="F906" i="1"/>
  <c r="M920" i="3"/>
  <c r="L921" i="3"/>
  <c r="L922" i="3" l="1"/>
  <c r="M921" i="3"/>
  <c r="A921" i="1"/>
  <c r="E910" i="1"/>
  <c r="B919" i="1"/>
  <c r="F907" i="1"/>
  <c r="B920" i="1" l="1"/>
  <c r="A922" i="1"/>
  <c r="E911" i="1"/>
  <c r="F908" i="1"/>
  <c r="M922" i="3"/>
  <c r="L923" i="3"/>
  <c r="A923" i="1" l="1"/>
  <c r="E912" i="1"/>
  <c r="F909" i="1"/>
  <c r="B921" i="1"/>
  <c r="L924" i="3"/>
  <c r="M923" i="3"/>
  <c r="M924" i="3" l="1"/>
  <c r="L925" i="3"/>
  <c r="B922" i="1"/>
  <c r="A924" i="1"/>
  <c r="E913" i="1"/>
  <c r="F910" i="1"/>
  <c r="L926" i="3" l="1"/>
  <c r="M925" i="3"/>
  <c r="B923" i="1"/>
  <c r="A925" i="1"/>
  <c r="E914" i="1"/>
  <c r="F911" i="1"/>
  <c r="A926" i="1" l="1"/>
  <c r="B924" i="1"/>
  <c r="E915" i="1"/>
  <c r="F912" i="1"/>
  <c r="M926" i="3"/>
  <c r="L927" i="3"/>
  <c r="A927" i="1" l="1"/>
  <c r="E916" i="1"/>
  <c r="F913" i="1"/>
  <c r="B925" i="1"/>
  <c r="L928" i="3"/>
  <c r="M927" i="3"/>
  <c r="M928" i="3" l="1"/>
  <c r="L929" i="3"/>
  <c r="B926" i="1"/>
  <c r="A928" i="1"/>
  <c r="E917" i="1"/>
  <c r="F914" i="1"/>
  <c r="M929" i="3" l="1"/>
  <c r="L930" i="3"/>
  <c r="B928" i="1"/>
  <c r="A929" i="1"/>
  <c r="B927" i="1"/>
  <c r="E918" i="1"/>
  <c r="F915" i="1"/>
  <c r="M930" i="3" l="1"/>
  <c r="L931" i="3"/>
  <c r="A930" i="1"/>
  <c r="E919" i="1"/>
  <c r="F916" i="1"/>
  <c r="B929" i="1"/>
  <c r="A931" i="1" l="1"/>
  <c r="E920" i="1"/>
  <c r="F917" i="1"/>
  <c r="M931" i="3"/>
  <c r="L932" i="3"/>
  <c r="L933" i="3" l="1"/>
  <c r="M932" i="3"/>
  <c r="A932" i="1"/>
  <c r="B930" i="1"/>
  <c r="E921" i="1"/>
  <c r="F918" i="1"/>
  <c r="A933" i="1" l="1"/>
  <c r="E922" i="1"/>
  <c r="B931" i="1"/>
  <c r="F919" i="1"/>
  <c r="M933" i="3"/>
  <c r="L934" i="3"/>
  <c r="A934" i="1" l="1"/>
  <c r="E923" i="1"/>
  <c r="F920" i="1"/>
  <c r="L935" i="3"/>
  <c r="M934" i="3"/>
  <c r="B932" i="1"/>
  <c r="A935" i="1" l="1"/>
  <c r="E924" i="1"/>
  <c r="B933" i="1"/>
  <c r="F921" i="1"/>
  <c r="M935" i="3"/>
  <c r="L936" i="3"/>
  <c r="M936" i="3" l="1"/>
  <c r="L937" i="3"/>
  <c r="B934" i="1"/>
  <c r="A936" i="1"/>
  <c r="E925" i="1"/>
  <c r="F922" i="1"/>
  <c r="M937" i="3" l="1"/>
  <c r="L938" i="3"/>
  <c r="A937" i="1"/>
  <c r="E926" i="1"/>
  <c r="B935" i="1"/>
  <c r="F923" i="1"/>
  <c r="A938" i="1" l="1"/>
  <c r="E927" i="1"/>
  <c r="F924" i="1"/>
  <c r="B936" i="1"/>
  <c r="M938" i="3"/>
  <c r="L939" i="3"/>
  <c r="A939" i="1" l="1"/>
  <c r="E928" i="1"/>
  <c r="F925" i="1"/>
  <c r="L940" i="3"/>
  <c r="M939" i="3"/>
  <c r="B937" i="1"/>
  <c r="M940" i="3" l="1"/>
  <c r="L941" i="3"/>
  <c r="B938" i="1"/>
  <c r="A940" i="1"/>
  <c r="E929" i="1"/>
  <c r="F926" i="1"/>
  <c r="M941" i="3" l="1"/>
  <c r="L942" i="3"/>
  <c r="B939" i="1"/>
  <c r="A941" i="1"/>
  <c r="E930" i="1"/>
  <c r="F927" i="1"/>
  <c r="M942" i="3" l="1"/>
  <c r="L943" i="3"/>
  <c r="B941" i="1"/>
  <c r="A942" i="1"/>
  <c r="B940" i="1"/>
  <c r="E931" i="1"/>
  <c r="F928" i="1"/>
  <c r="M943" i="3" l="1"/>
  <c r="L944" i="3"/>
  <c r="A943" i="1"/>
  <c r="E932" i="1"/>
  <c r="F929" i="1"/>
  <c r="M944" i="3" l="1"/>
  <c r="L945" i="3"/>
  <c r="B942" i="1"/>
  <c r="A944" i="1"/>
  <c r="E933" i="1"/>
  <c r="F930" i="1"/>
  <c r="A945" i="1" l="1"/>
  <c r="B943" i="1"/>
  <c r="E934" i="1"/>
  <c r="F931" i="1"/>
  <c r="M945" i="3"/>
  <c r="L946" i="3"/>
  <c r="A946" i="1" l="1"/>
  <c r="E935" i="1"/>
  <c r="F932" i="1"/>
  <c r="L947" i="3"/>
  <c r="M946" i="3"/>
  <c r="B945" i="1" s="1"/>
  <c r="B944" i="1"/>
  <c r="M947" i="3" l="1"/>
  <c r="L948" i="3"/>
  <c r="A947" i="1"/>
  <c r="E936" i="1"/>
  <c r="F933" i="1"/>
  <c r="B946" i="1" l="1"/>
  <c r="A948" i="1"/>
  <c r="E937" i="1"/>
  <c r="F934" i="1"/>
  <c r="M948" i="3"/>
  <c r="L949" i="3"/>
  <c r="A949" i="1" l="1"/>
  <c r="E938" i="1"/>
  <c r="B947" i="1"/>
  <c r="F935" i="1"/>
  <c r="M949" i="3"/>
  <c r="L950" i="3"/>
  <c r="A950" i="1" l="1"/>
  <c r="E939" i="1"/>
  <c r="F936" i="1"/>
  <c r="M950" i="3"/>
  <c r="L951" i="3"/>
  <c r="B948" i="1"/>
  <c r="M951" i="3" l="1"/>
  <c r="L952" i="3"/>
  <c r="A951" i="1"/>
  <c r="E940" i="1"/>
  <c r="B949" i="1"/>
  <c r="F937" i="1"/>
  <c r="L953" i="3" l="1"/>
  <c r="M952" i="3"/>
  <c r="A952" i="1"/>
  <c r="B950" i="1"/>
  <c r="E941" i="1"/>
  <c r="F938" i="1"/>
  <c r="B951" i="1"/>
  <c r="A953" i="1" l="1"/>
  <c r="E942" i="1"/>
  <c r="F939" i="1"/>
  <c r="M953" i="3"/>
  <c r="L954" i="3"/>
  <c r="L955" i="3" l="1"/>
  <c r="M954" i="3"/>
  <c r="A954" i="1"/>
  <c r="B952" i="1"/>
  <c r="E943" i="1"/>
  <c r="F940" i="1"/>
  <c r="B953" i="1"/>
  <c r="A955" i="1" l="1"/>
  <c r="E944" i="1"/>
  <c r="F941" i="1"/>
  <c r="M955" i="3"/>
  <c r="L956" i="3"/>
  <c r="L957" i="3" l="1"/>
  <c r="M956" i="3"/>
  <c r="B954" i="1"/>
  <c r="A956" i="1"/>
  <c r="E945" i="1"/>
  <c r="F942" i="1"/>
  <c r="B955" i="1" l="1"/>
  <c r="A957" i="1"/>
  <c r="E946" i="1"/>
  <c r="F943" i="1"/>
  <c r="M957" i="3"/>
  <c r="L958" i="3"/>
  <c r="A958" i="1" l="1"/>
  <c r="B956" i="1"/>
  <c r="E947" i="1"/>
  <c r="F944" i="1"/>
  <c r="L959" i="3"/>
  <c r="M958" i="3"/>
  <c r="B957" i="1"/>
  <c r="M959" i="3" l="1"/>
  <c r="L960" i="3"/>
  <c r="A959" i="1"/>
  <c r="E948" i="1"/>
  <c r="F945" i="1"/>
  <c r="M960" i="3" l="1"/>
  <c r="L961" i="3"/>
  <c r="B958" i="1"/>
  <c r="A960" i="1"/>
  <c r="E949" i="1"/>
  <c r="F946" i="1"/>
  <c r="M961" i="3" l="1"/>
  <c r="L962" i="3"/>
  <c r="A961" i="1"/>
  <c r="B959" i="1"/>
  <c r="E950" i="1"/>
  <c r="F947" i="1"/>
  <c r="M962" i="3" l="1"/>
  <c r="L963" i="3"/>
  <c r="B961" i="1"/>
  <c r="A962" i="1"/>
  <c r="E951" i="1"/>
  <c r="F948" i="1"/>
  <c r="B960" i="1"/>
  <c r="L964" i="3" l="1"/>
  <c r="M963" i="3"/>
  <c r="B962" i="1" s="1"/>
  <c r="A963" i="1"/>
  <c r="E952" i="1"/>
  <c r="F949" i="1"/>
  <c r="M964" i="3" l="1"/>
  <c r="L965" i="3"/>
  <c r="A964" i="1"/>
  <c r="E953" i="1"/>
  <c r="F950" i="1"/>
  <c r="A965" i="1" l="1"/>
  <c r="E954" i="1"/>
  <c r="F951" i="1"/>
  <c r="B963" i="1"/>
  <c r="L966" i="3"/>
  <c r="M965" i="3"/>
  <c r="A966" i="1" l="1"/>
  <c r="E955" i="1"/>
  <c r="F952" i="1"/>
  <c r="B964" i="1"/>
  <c r="M966" i="3"/>
  <c r="L967" i="3"/>
  <c r="B965" i="1" l="1"/>
  <c r="A967" i="1"/>
  <c r="E956" i="1"/>
  <c r="F953" i="1"/>
  <c r="L968" i="3"/>
  <c r="M967" i="3"/>
  <c r="M968" i="3" l="1"/>
  <c r="L969" i="3"/>
  <c r="A968" i="1"/>
  <c r="B966" i="1"/>
  <c r="E957" i="1"/>
  <c r="F954" i="1"/>
  <c r="L970" i="3" l="1"/>
  <c r="M969" i="3"/>
  <c r="A969" i="1"/>
  <c r="B967" i="1"/>
  <c r="E958" i="1"/>
  <c r="F955" i="1"/>
  <c r="A970" i="1" l="1"/>
  <c r="E959" i="1"/>
  <c r="F956" i="1"/>
  <c r="B968" i="1"/>
  <c r="M970" i="3"/>
  <c r="L971" i="3"/>
  <c r="L972" i="3" l="1"/>
  <c r="M971" i="3"/>
  <c r="A971" i="1"/>
  <c r="B969" i="1"/>
  <c r="E960" i="1"/>
  <c r="F957" i="1"/>
  <c r="B970" i="1"/>
  <c r="A972" i="1" l="1"/>
  <c r="E961" i="1"/>
  <c r="F958" i="1"/>
  <c r="M972" i="3"/>
  <c r="L973" i="3"/>
  <c r="L974" i="3" l="1"/>
  <c r="M973" i="3"/>
  <c r="B972" i="1"/>
  <c r="A973" i="1"/>
  <c r="B971" i="1"/>
  <c r="E962" i="1"/>
  <c r="F959" i="1"/>
  <c r="A974" i="1" l="1"/>
  <c r="E963" i="1"/>
  <c r="F960" i="1"/>
  <c r="M974" i="3"/>
  <c r="L975" i="3"/>
  <c r="B973" i="1" l="1"/>
  <c r="A975" i="1"/>
  <c r="E964" i="1"/>
  <c r="F961" i="1"/>
  <c r="M975" i="3"/>
  <c r="L976" i="3"/>
  <c r="B974" i="1" l="1"/>
  <c r="A976" i="1"/>
  <c r="E965" i="1"/>
  <c r="F962" i="1"/>
  <c r="M976" i="3"/>
  <c r="L977" i="3"/>
  <c r="M977" i="3" l="1"/>
  <c r="L978" i="3"/>
  <c r="A977" i="1"/>
  <c r="B975" i="1"/>
  <c r="E966" i="1"/>
  <c r="F963" i="1"/>
  <c r="B976" i="1"/>
  <c r="L979" i="3" l="1"/>
  <c r="M978" i="3"/>
  <c r="A978" i="1"/>
  <c r="E967" i="1"/>
  <c r="F964" i="1"/>
  <c r="A979" i="1" l="1"/>
  <c r="E968" i="1"/>
  <c r="F965" i="1"/>
  <c r="M979" i="3"/>
  <c r="B978" i="1" s="1"/>
  <c r="L980" i="3"/>
  <c r="B977" i="1"/>
  <c r="M980" i="3" l="1"/>
  <c r="L981" i="3"/>
  <c r="A980" i="1"/>
  <c r="E969" i="1"/>
  <c r="F966" i="1"/>
  <c r="B979" i="1"/>
  <c r="M981" i="3" l="1"/>
  <c r="L982" i="3"/>
  <c r="A981" i="1"/>
  <c r="E970" i="1"/>
  <c r="F967" i="1"/>
  <c r="M982" i="3" l="1"/>
  <c r="L983" i="3"/>
  <c r="B980" i="1"/>
  <c r="A982" i="1"/>
  <c r="E971" i="1"/>
  <c r="F968" i="1"/>
  <c r="A983" i="1" l="1"/>
  <c r="B981" i="1"/>
  <c r="E972" i="1"/>
  <c r="F969" i="1"/>
  <c r="M983" i="3"/>
  <c r="L984" i="3"/>
  <c r="A984" i="1" l="1"/>
  <c r="E973" i="1"/>
  <c r="F970" i="1"/>
  <c r="B982" i="1"/>
  <c r="M984" i="3"/>
  <c r="L985" i="3"/>
  <c r="A985" i="1" l="1"/>
  <c r="B983" i="1"/>
  <c r="E974" i="1"/>
  <c r="F971" i="1"/>
  <c r="M985" i="3"/>
  <c r="L986" i="3"/>
  <c r="B984" i="1"/>
  <c r="L987" i="3" l="1"/>
  <c r="M986" i="3"/>
  <c r="A986" i="1"/>
  <c r="E975" i="1"/>
  <c r="F972" i="1"/>
  <c r="A987" i="1" l="1"/>
  <c r="B985" i="1"/>
  <c r="E976" i="1"/>
  <c r="F973" i="1"/>
  <c r="M987" i="3"/>
  <c r="L988" i="3"/>
  <c r="A988" i="1" l="1"/>
  <c r="E977" i="1"/>
  <c r="F974" i="1"/>
  <c r="M988" i="3"/>
  <c r="L989" i="3"/>
  <c r="B986" i="1"/>
  <c r="M989" i="3" l="1"/>
  <c r="L990" i="3"/>
  <c r="B987" i="1"/>
  <c r="A989" i="1"/>
  <c r="E978" i="1"/>
  <c r="F975" i="1"/>
  <c r="B988" i="1"/>
  <c r="L991" i="3" l="1"/>
  <c r="M990" i="3"/>
  <c r="A990" i="1"/>
  <c r="E979" i="1"/>
  <c r="F976" i="1"/>
  <c r="B989" i="1" l="1"/>
  <c r="A991" i="1"/>
  <c r="E980" i="1"/>
  <c r="F977" i="1"/>
  <c r="M991" i="3"/>
  <c r="L992" i="3"/>
  <c r="L993" i="3" l="1"/>
  <c r="M992" i="3"/>
  <c r="A992" i="1"/>
  <c r="B990" i="1"/>
  <c r="E981" i="1"/>
  <c r="F978" i="1"/>
  <c r="B991" i="1" l="1"/>
  <c r="A993" i="1"/>
  <c r="E982" i="1"/>
  <c r="F979" i="1"/>
  <c r="M993" i="3"/>
  <c r="B992" i="1" s="1"/>
  <c r="L994" i="3"/>
  <c r="A994" i="1" l="1"/>
  <c r="E983" i="1"/>
  <c r="F980" i="1"/>
  <c r="L995" i="3"/>
  <c r="M994" i="3"/>
  <c r="B993" i="1" s="1"/>
  <c r="M995" i="3" l="1"/>
  <c r="L996" i="3"/>
  <c r="B994" i="1"/>
  <c r="A995" i="1"/>
  <c r="E984" i="1"/>
  <c r="F981" i="1"/>
  <c r="M996" i="3" l="1"/>
  <c r="L997" i="3"/>
  <c r="A996" i="1"/>
  <c r="E985" i="1"/>
  <c r="F982" i="1"/>
  <c r="M997" i="3" l="1"/>
  <c r="L998" i="3"/>
  <c r="A997" i="1"/>
  <c r="E986" i="1"/>
  <c r="F983" i="1"/>
  <c r="B995" i="1"/>
  <c r="M998" i="3" l="1"/>
  <c r="L999" i="3"/>
  <c r="B996" i="1"/>
  <c r="A998" i="1"/>
  <c r="E987" i="1"/>
  <c r="F984" i="1"/>
  <c r="L1000" i="3" l="1"/>
  <c r="M999" i="3"/>
  <c r="A999" i="1"/>
  <c r="B997" i="1"/>
  <c r="E988" i="1"/>
  <c r="F985" i="1"/>
  <c r="B998" i="1"/>
  <c r="A1000" i="1" l="1"/>
  <c r="E989" i="1"/>
  <c r="F986" i="1"/>
  <c r="M1000" i="3"/>
  <c r="L1001" i="3"/>
  <c r="L1002" i="3" l="1"/>
  <c r="M1001" i="3"/>
  <c r="B1000" i="1"/>
  <c r="A1001" i="1"/>
  <c r="B999" i="1"/>
  <c r="E990" i="1"/>
  <c r="F987" i="1"/>
  <c r="A1002" i="1" l="1"/>
  <c r="E991" i="1"/>
  <c r="F988" i="1"/>
  <c r="M1002" i="3"/>
  <c r="L1003" i="3"/>
  <c r="L1004" i="3" l="1"/>
  <c r="M1003" i="3"/>
  <c r="A1003" i="1"/>
  <c r="B1001" i="1"/>
  <c r="E992" i="1"/>
  <c r="F989" i="1"/>
  <c r="B1002" i="1"/>
  <c r="A1004" i="1" l="1"/>
  <c r="E993" i="1"/>
  <c r="F990" i="1"/>
  <c r="M1004" i="3"/>
  <c r="L1005" i="3"/>
  <c r="A1005" i="1" l="1"/>
  <c r="B1003" i="1"/>
  <c r="E994" i="1"/>
  <c r="F991" i="1"/>
  <c r="L1006" i="3"/>
  <c r="M1005" i="3"/>
  <c r="B1004" i="1" s="1"/>
  <c r="A1006" i="1" l="1"/>
  <c r="E995" i="1"/>
  <c r="F992" i="1"/>
  <c r="M1006" i="3"/>
  <c r="L1007" i="3"/>
  <c r="M1007" i="3" l="1"/>
  <c r="L1008" i="3"/>
  <c r="A1007" i="1"/>
  <c r="B1005" i="1"/>
  <c r="E996" i="1"/>
  <c r="F993" i="1"/>
  <c r="L1009" i="3" l="1"/>
  <c r="M1008" i="3"/>
  <c r="A1008" i="1"/>
  <c r="B1006" i="1"/>
  <c r="E997" i="1"/>
  <c r="F994" i="1"/>
  <c r="A1009" i="1" l="1"/>
  <c r="B1007" i="1"/>
  <c r="E998" i="1"/>
  <c r="F995" i="1"/>
  <c r="M1009" i="3"/>
  <c r="L1010" i="3"/>
  <c r="A1010" i="1" l="1"/>
  <c r="E999" i="1"/>
  <c r="F996" i="1"/>
  <c r="L1011" i="3"/>
  <c r="M1010" i="3"/>
  <c r="B1009" i="1" s="1"/>
  <c r="B1008" i="1"/>
  <c r="M1011" i="3" l="1"/>
  <c r="L1012" i="3"/>
  <c r="A1011" i="1"/>
  <c r="E1000" i="1"/>
  <c r="F997" i="1"/>
  <c r="L1013" i="3" l="1"/>
  <c r="M1012" i="3"/>
  <c r="A1012" i="1"/>
  <c r="E1001" i="1"/>
  <c r="B1010" i="1"/>
  <c r="F998" i="1"/>
  <c r="B1011" i="1"/>
  <c r="A1013" i="1" l="1"/>
  <c r="E1002" i="1"/>
  <c r="F999" i="1"/>
  <c r="M1013" i="3"/>
  <c r="L1014" i="3"/>
  <c r="A1014" i="1" l="1"/>
  <c r="E1003" i="1"/>
  <c r="B1012" i="1"/>
  <c r="F1000" i="1"/>
  <c r="L1015" i="3"/>
  <c r="M1014" i="3"/>
  <c r="A1015" i="1" l="1"/>
  <c r="B1013" i="1"/>
  <c r="E1004" i="1"/>
  <c r="F1001" i="1"/>
  <c r="M1015" i="3"/>
  <c r="L1016" i="3"/>
  <c r="A1016" i="1" l="1"/>
  <c r="E1005" i="1"/>
  <c r="F1002" i="1"/>
  <c r="B1014" i="1"/>
  <c r="M1016" i="3"/>
  <c r="L1017" i="3"/>
  <c r="M1017" i="3" l="1"/>
  <c r="L1018" i="3"/>
  <c r="A1017" i="1"/>
  <c r="B1015" i="1"/>
  <c r="E1006" i="1"/>
  <c r="F1003" i="1"/>
  <c r="B1016" i="1"/>
  <c r="M1018" i="3" l="1"/>
  <c r="L1019" i="3"/>
  <c r="A1018" i="1"/>
  <c r="E1007" i="1"/>
  <c r="F1004" i="1"/>
  <c r="M1019" i="3" l="1"/>
  <c r="L1020" i="3"/>
  <c r="B1018" i="1"/>
  <c r="A1019" i="1"/>
  <c r="B1017" i="1"/>
  <c r="E1008" i="1"/>
  <c r="F1005" i="1"/>
  <c r="M1020" i="3" l="1"/>
  <c r="L1021" i="3"/>
  <c r="A1020" i="1"/>
  <c r="E1009" i="1"/>
  <c r="F1006" i="1"/>
  <c r="A1021" i="1" l="1"/>
  <c r="E1010" i="1"/>
  <c r="F1007" i="1"/>
  <c r="L1022" i="3"/>
  <c r="M1021" i="3"/>
  <c r="B1019" i="1"/>
  <c r="B1020" i="1"/>
  <c r="M1022" i="3" l="1"/>
  <c r="L1023" i="3"/>
  <c r="A1022" i="1"/>
  <c r="E1011" i="1"/>
  <c r="F1008" i="1"/>
  <c r="M1023" i="3" l="1"/>
  <c r="L1024" i="3"/>
  <c r="A1023" i="1"/>
  <c r="B1021" i="1"/>
  <c r="E1012" i="1"/>
  <c r="F1009" i="1"/>
  <c r="M1024" i="3" l="1"/>
  <c r="L1025" i="3"/>
  <c r="A1024" i="1"/>
  <c r="B1022" i="1"/>
  <c r="E1013" i="1"/>
  <c r="F1010" i="1"/>
  <c r="B1023" i="1" l="1"/>
  <c r="A1025" i="1"/>
  <c r="E1014" i="1"/>
  <c r="F1011" i="1"/>
  <c r="M1025" i="3"/>
  <c r="L1026" i="3"/>
  <c r="A1026" i="1" l="1"/>
  <c r="E1015" i="1"/>
  <c r="B1024" i="1"/>
  <c r="F1012" i="1"/>
  <c r="L1027" i="3"/>
  <c r="M1026" i="3"/>
  <c r="B1025" i="1" s="1"/>
  <c r="M1027" i="3" l="1"/>
  <c r="L1028" i="3"/>
  <c r="A1027" i="1"/>
  <c r="E1016" i="1"/>
  <c r="F1013" i="1"/>
  <c r="L1029" i="3" l="1"/>
  <c r="M1028" i="3"/>
  <c r="A1028" i="1"/>
  <c r="E1017" i="1"/>
  <c r="B1026" i="1"/>
  <c r="F1014" i="1"/>
  <c r="A1029" i="1" l="1"/>
  <c r="E1018" i="1"/>
  <c r="B1027" i="1"/>
  <c r="F1015" i="1"/>
  <c r="M1029" i="3"/>
  <c r="L1030" i="3"/>
  <c r="L1031" i="3" l="1"/>
  <c r="M1030" i="3"/>
  <c r="A1030" i="1"/>
  <c r="E1019" i="1"/>
  <c r="F1016" i="1"/>
  <c r="B1028" i="1"/>
  <c r="A1031" i="1" l="1"/>
  <c r="B1029" i="1"/>
  <c r="E1020" i="1"/>
  <c r="F1017" i="1"/>
  <c r="M1031" i="3"/>
  <c r="B1030" i="1" s="1"/>
  <c r="L1032" i="3"/>
  <c r="A1032" i="1" l="1"/>
  <c r="E1021" i="1"/>
  <c r="F1018" i="1"/>
  <c r="M1032" i="3"/>
  <c r="L1033" i="3"/>
  <c r="A1033" i="1" l="1"/>
  <c r="B1031" i="1"/>
  <c r="E1022" i="1"/>
  <c r="F1019" i="1"/>
  <c r="L1034" i="3"/>
  <c r="M1033" i="3"/>
  <c r="A1034" i="1" l="1"/>
  <c r="E1023" i="1"/>
  <c r="B1032" i="1"/>
  <c r="F1020" i="1"/>
  <c r="M1034" i="3"/>
  <c r="L1035" i="3"/>
  <c r="B1033" i="1"/>
  <c r="L1036" i="3" l="1"/>
  <c r="M1035" i="3"/>
  <c r="A1035" i="1"/>
  <c r="E1024" i="1"/>
  <c r="F1021" i="1"/>
  <c r="A1036" i="1" l="1"/>
  <c r="E1025" i="1"/>
  <c r="B1034" i="1"/>
  <c r="F1022" i="1"/>
  <c r="M1036" i="3"/>
  <c r="L1037" i="3"/>
  <c r="B1035" i="1"/>
  <c r="L1038" i="3" l="1"/>
  <c r="M1037" i="3"/>
  <c r="A1037" i="1"/>
  <c r="E1026" i="1"/>
  <c r="F1023" i="1"/>
  <c r="B1036" i="1"/>
  <c r="A1038" i="1" l="1"/>
  <c r="E1027" i="1"/>
  <c r="F1024" i="1"/>
  <c r="M1038" i="3"/>
  <c r="L1039" i="3"/>
  <c r="B1037" i="1" l="1"/>
  <c r="A1039" i="1"/>
  <c r="E1028" i="1"/>
  <c r="F1025" i="1"/>
  <c r="M1039" i="3"/>
  <c r="L1040" i="3"/>
  <c r="A1040" i="1" l="1"/>
  <c r="B1038" i="1"/>
  <c r="E1029" i="1"/>
  <c r="F1026" i="1"/>
  <c r="L1041" i="3"/>
  <c r="M1040" i="3"/>
  <c r="B1039" i="1" l="1"/>
  <c r="A1041" i="1"/>
  <c r="E1030" i="1"/>
  <c r="F1027" i="1"/>
  <c r="M1041" i="3"/>
  <c r="L1042" i="3"/>
  <c r="A1042" i="1" l="1"/>
  <c r="E1031" i="1"/>
  <c r="B1040" i="1"/>
  <c r="F1028" i="1"/>
  <c r="L1043" i="3"/>
  <c r="M1042" i="3"/>
  <c r="A1043" i="1" l="1"/>
  <c r="E1032" i="1"/>
  <c r="B1041" i="1"/>
  <c r="F1029" i="1"/>
  <c r="M1043" i="3"/>
  <c r="L1044" i="3"/>
  <c r="A1044" i="1" l="1"/>
  <c r="E1033" i="1"/>
  <c r="B1042" i="1"/>
  <c r="F1030" i="1"/>
  <c r="L1045" i="3"/>
  <c r="M1044" i="3"/>
  <c r="A1045" i="1" l="1"/>
  <c r="E1034" i="1"/>
  <c r="B1043" i="1"/>
  <c r="F1031" i="1"/>
  <c r="M1045" i="3"/>
  <c r="L1046" i="3"/>
  <c r="B1044" i="1" l="1"/>
  <c r="A1046" i="1"/>
  <c r="E1035" i="1"/>
  <c r="F1032" i="1"/>
  <c r="M1046" i="3"/>
  <c r="L1047" i="3"/>
  <c r="A1047" i="1" l="1"/>
  <c r="B1045" i="1"/>
  <c r="E1036" i="1"/>
  <c r="F1033" i="1"/>
  <c r="L1048" i="3"/>
  <c r="M1047" i="3"/>
  <c r="A1048" i="1" l="1"/>
  <c r="E1037" i="1"/>
  <c r="F1034" i="1"/>
  <c r="B1046" i="1"/>
  <c r="M1048" i="3"/>
  <c r="L1049" i="3"/>
  <c r="A1049" i="1" l="1"/>
  <c r="B1047" i="1"/>
  <c r="E1038" i="1"/>
  <c r="F1035" i="1"/>
  <c r="L1050" i="3"/>
  <c r="M1049" i="3"/>
  <c r="M1050" i="3" l="1"/>
  <c r="L1051" i="3"/>
  <c r="A1050" i="1"/>
  <c r="E1039" i="1"/>
  <c r="B1048" i="1"/>
  <c r="F1036" i="1"/>
  <c r="L1052" i="3" l="1"/>
  <c r="M1051" i="3"/>
  <c r="A1051" i="1"/>
  <c r="B1049" i="1"/>
  <c r="E1040" i="1"/>
  <c r="F1037" i="1"/>
  <c r="M1052" i="3" l="1"/>
  <c r="L1053" i="3"/>
  <c r="A1052" i="1"/>
  <c r="E1041" i="1"/>
  <c r="B1050" i="1"/>
  <c r="F1038" i="1"/>
  <c r="A1053" i="1" l="1"/>
  <c r="E1042" i="1"/>
  <c r="B1051" i="1"/>
  <c r="F1039" i="1"/>
  <c r="M1053" i="3"/>
  <c r="L1054" i="3"/>
  <c r="A1054" i="1" l="1"/>
  <c r="E1043" i="1"/>
  <c r="F1040" i="1"/>
  <c r="M1054" i="3"/>
  <c r="L1055" i="3"/>
  <c r="B1052" i="1"/>
  <c r="M1055" i="3" l="1"/>
  <c r="L1056" i="3"/>
  <c r="B1053" i="1"/>
  <c r="A1055" i="1"/>
  <c r="E1044" i="1"/>
  <c r="F1041" i="1"/>
  <c r="L1057" i="3" l="1"/>
  <c r="M1056" i="3"/>
  <c r="A1056" i="1"/>
  <c r="B1054" i="1"/>
  <c r="E1045" i="1"/>
  <c r="F1042" i="1"/>
  <c r="M1057" i="3" l="1"/>
  <c r="L1058" i="3"/>
  <c r="B1055" i="1"/>
  <c r="A1057" i="1"/>
  <c r="E1046" i="1"/>
  <c r="F1043" i="1"/>
  <c r="L1059" i="3" l="1"/>
  <c r="M1058" i="3"/>
  <c r="A1058" i="1"/>
  <c r="E1047" i="1"/>
  <c r="B1056" i="1"/>
  <c r="F1044" i="1"/>
  <c r="A1059" i="1" l="1"/>
  <c r="E1048" i="1"/>
  <c r="B1057" i="1"/>
  <c r="F1045" i="1"/>
  <c r="M1059" i="3"/>
  <c r="L1060" i="3"/>
  <c r="L1061" i="3" l="1"/>
  <c r="M1060" i="3"/>
  <c r="A1060" i="1"/>
  <c r="E1049" i="1"/>
  <c r="B1058" i="1"/>
  <c r="F1046" i="1"/>
  <c r="A1061" i="1" l="1"/>
  <c r="E1050" i="1"/>
  <c r="B1059" i="1"/>
  <c r="F1047" i="1"/>
  <c r="M1061" i="3"/>
  <c r="L1062" i="3"/>
  <c r="M1062" i="3" l="1"/>
  <c r="L1063" i="3"/>
  <c r="A1062" i="1"/>
  <c r="E1051" i="1"/>
  <c r="B1060" i="1"/>
  <c r="F1048" i="1"/>
  <c r="M1063" i="3" l="1"/>
  <c r="B1062" i="1" s="1"/>
  <c r="L1064" i="3"/>
  <c r="A1063" i="1"/>
  <c r="B1061" i="1"/>
  <c r="E1052" i="1"/>
  <c r="F1049" i="1"/>
  <c r="M1064" i="3" l="1"/>
  <c r="L1065" i="3"/>
  <c r="A1064" i="1"/>
  <c r="E1053" i="1"/>
  <c r="F1050" i="1"/>
  <c r="L1066" i="3" l="1"/>
  <c r="M1065" i="3"/>
  <c r="A1065" i="1"/>
  <c r="B1063" i="1"/>
  <c r="E1054" i="1"/>
  <c r="F1051" i="1"/>
  <c r="A1066" i="1" l="1"/>
  <c r="E1055" i="1"/>
  <c r="B1064" i="1"/>
  <c r="F1052" i="1"/>
  <c r="M1066" i="3"/>
  <c r="L1067" i="3"/>
  <c r="A1067" i="1" l="1"/>
  <c r="E1056" i="1"/>
  <c r="F1053" i="1"/>
  <c r="B1065" i="1"/>
  <c r="L1068" i="3"/>
  <c r="M1067" i="3"/>
  <c r="M1068" i="3" l="1"/>
  <c r="L1069" i="3"/>
  <c r="A1068" i="1"/>
  <c r="E1057" i="1"/>
  <c r="B1066" i="1"/>
  <c r="F1054" i="1"/>
  <c r="M1069" i="3" l="1"/>
  <c r="L1070" i="3"/>
  <c r="B1068" i="1"/>
  <c r="B1067" i="1"/>
  <c r="A1069" i="1"/>
  <c r="E1058" i="1"/>
  <c r="F1055" i="1"/>
  <c r="M1070" i="3" l="1"/>
  <c r="L1071" i="3"/>
  <c r="A1070" i="1"/>
  <c r="E1059" i="1"/>
  <c r="F1056" i="1"/>
  <c r="B1069" i="1" l="1"/>
  <c r="A1071" i="1"/>
  <c r="E1060" i="1"/>
  <c r="F1057" i="1"/>
  <c r="M1071" i="3"/>
  <c r="L1072" i="3"/>
  <c r="L1073" i="3" l="1"/>
  <c r="M1072" i="3"/>
  <c r="A1072" i="1"/>
  <c r="B1070" i="1"/>
  <c r="E1061" i="1"/>
  <c r="F1058" i="1"/>
  <c r="B1071" i="1" l="1"/>
  <c r="A1073" i="1"/>
  <c r="E1062" i="1"/>
  <c r="F1059" i="1"/>
  <c r="M1073" i="3"/>
  <c r="L1074" i="3"/>
  <c r="L1075" i="3" l="1"/>
  <c r="M1074" i="3"/>
  <c r="A1074" i="1"/>
  <c r="E1063" i="1"/>
  <c r="B1072" i="1"/>
  <c r="F1060" i="1"/>
  <c r="A1075" i="1" l="1"/>
  <c r="E1064" i="1"/>
  <c r="B1073" i="1"/>
  <c r="F1061" i="1"/>
  <c r="M1075" i="3"/>
  <c r="L1076" i="3"/>
  <c r="M1076" i="3" l="1"/>
  <c r="L1077" i="3"/>
  <c r="A1076" i="1"/>
  <c r="E1065" i="1"/>
  <c r="B1074" i="1"/>
  <c r="F1062" i="1"/>
  <c r="A1077" i="1" l="1"/>
  <c r="E1066" i="1"/>
  <c r="B1075" i="1"/>
  <c r="F1063" i="1"/>
  <c r="M1077" i="3"/>
  <c r="L1078" i="3"/>
  <c r="B1076" i="1" l="1"/>
  <c r="A1078" i="1"/>
  <c r="E1067" i="1"/>
  <c r="F1064" i="1"/>
  <c r="M1078" i="3"/>
  <c r="L1079" i="3"/>
  <c r="L1080" i="3" l="1"/>
  <c r="M1079" i="3"/>
  <c r="A1079" i="1"/>
  <c r="B1077" i="1"/>
  <c r="E1068" i="1"/>
  <c r="F1065" i="1"/>
  <c r="B1078" i="1"/>
  <c r="A1080" i="1" l="1"/>
  <c r="E1069" i="1"/>
  <c r="F1066" i="1"/>
  <c r="M1080" i="3"/>
  <c r="L1081" i="3"/>
  <c r="L1082" i="3" l="1"/>
  <c r="M1081" i="3"/>
  <c r="A1081" i="1"/>
  <c r="B1079" i="1"/>
  <c r="E1070" i="1"/>
  <c r="F1067" i="1"/>
  <c r="A1082" i="1" l="1"/>
  <c r="E1071" i="1"/>
  <c r="B1080" i="1"/>
  <c r="F1068" i="1"/>
  <c r="M1082" i="3"/>
  <c r="L1083" i="3"/>
  <c r="A1083" i="1" l="1"/>
  <c r="B1081" i="1"/>
  <c r="E1072" i="1"/>
  <c r="F1069" i="1"/>
  <c r="L1084" i="3"/>
  <c r="M1083" i="3"/>
  <c r="M1084" i="3" l="1"/>
  <c r="L1085" i="3"/>
  <c r="A1084" i="1"/>
  <c r="E1073" i="1"/>
  <c r="B1082" i="1"/>
  <c r="F1070" i="1"/>
  <c r="B1083" i="1"/>
  <c r="M1085" i="3" l="1"/>
  <c r="L1086" i="3"/>
  <c r="A1085" i="1"/>
  <c r="E1074" i="1"/>
  <c r="F1071" i="1"/>
  <c r="M1086" i="3" l="1"/>
  <c r="L1087" i="3"/>
  <c r="A1086" i="1"/>
  <c r="E1075" i="1"/>
  <c r="F1072" i="1"/>
  <c r="B1084" i="1"/>
  <c r="M1087" i="3" l="1"/>
  <c r="L1088" i="3"/>
  <c r="B1085" i="1"/>
  <c r="A1087" i="1"/>
  <c r="E1076" i="1"/>
  <c r="F1073" i="1"/>
  <c r="L1089" i="3" l="1"/>
  <c r="M1088" i="3"/>
  <c r="A1088" i="1"/>
  <c r="B1086" i="1"/>
  <c r="E1077" i="1"/>
  <c r="F1074" i="1"/>
  <c r="B1087" i="1" l="1"/>
  <c r="A1089" i="1"/>
  <c r="E1078" i="1"/>
  <c r="F1075" i="1"/>
  <c r="M1089" i="3"/>
  <c r="L1090" i="3"/>
  <c r="L1091" i="3" l="1"/>
  <c r="M1090" i="3"/>
  <c r="A1090" i="1"/>
  <c r="E1079" i="1"/>
  <c r="B1088" i="1"/>
  <c r="F1076" i="1"/>
  <c r="A1091" i="1" l="1"/>
  <c r="E1080" i="1"/>
  <c r="B1089" i="1"/>
  <c r="F1077" i="1"/>
  <c r="M1091" i="3"/>
  <c r="L1092" i="3"/>
  <c r="A1092" i="1" l="1"/>
  <c r="E1081" i="1"/>
  <c r="B1090" i="1"/>
  <c r="F1078" i="1"/>
  <c r="L1093" i="3"/>
  <c r="M1092" i="3"/>
  <c r="M1093" i="3" l="1"/>
  <c r="L1094" i="3"/>
  <c r="A1093" i="1"/>
  <c r="E1082" i="1"/>
  <c r="B1091" i="1"/>
  <c r="F1079" i="1"/>
  <c r="B1092" i="1"/>
  <c r="M1094" i="3" l="1"/>
  <c r="L1095" i="3"/>
  <c r="A1094" i="1"/>
  <c r="E1083" i="1"/>
  <c r="F1080" i="1"/>
  <c r="M1095" i="3" l="1"/>
  <c r="L1096" i="3"/>
  <c r="A1095" i="1"/>
  <c r="B1093" i="1"/>
  <c r="E1084" i="1"/>
  <c r="F1081" i="1"/>
  <c r="M1096" i="3" l="1"/>
  <c r="L1097" i="3"/>
  <c r="A1096" i="1"/>
  <c r="E1085" i="1"/>
  <c r="F1082" i="1"/>
  <c r="B1094" i="1"/>
  <c r="L1098" i="3" l="1"/>
  <c r="M1097" i="3"/>
  <c r="A1097" i="1"/>
  <c r="B1095" i="1"/>
  <c r="E1086" i="1"/>
  <c r="F1083" i="1"/>
  <c r="A1098" i="1" l="1"/>
  <c r="E1087" i="1"/>
  <c r="B1096" i="1"/>
  <c r="F1084" i="1"/>
  <c r="M1098" i="3"/>
  <c r="L1099" i="3"/>
  <c r="A1099" i="1" l="1"/>
  <c r="E1088" i="1"/>
  <c r="F1085" i="1"/>
  <c r="B1097" i="1"/>
  <c r="L1100" i="3"/>
  <c r="M1099" i="3"/>
  <c r="A1100" i="1" l="1"/>
  <c r="E1089" i="1"/>
  <c r="B1098" i="1"/>
  <c r="F1086" i="1"/>
  <c r="M1100" i="3"/>
  <c r="L1101" i="3"/>
  <c r="M1101" i="3" l="1"/>
  <c r="L1102" i="3"/>
  <c r="B1099" i="1"/>
  <c r="A1101" i="1"/>
  <c r="E1090" i="1"/>
  <c r="F1087" i="1"/>
  <c r="B1100" i="1"/>
  <c r="M1102" i="3" l="1"/>
  <c r="L1103" i="3"/>
  <c r="A1102" i="1"/>
  <c r="E1091" i="1"/>
  <c r="F1088" i="1"/>
  <c r="M1103" i="3" l="1"/>
  <c r="L1104" i="3"/>
  <c r="B1101" i="1"/>
  <c r="A1103" i="1"/>
  <c r="E1092" i="1"/>
  <c r="F1089" i="1"/>
  <c r="L1105" i="3" l="1"/>
  <c r="M1104" i="3"/>
  <c r="A1104" i="1"/>
  <c r="B1102" i="1"/>
  <c r="E1093" i="1"/>
  <c r="F1090" i="1"/>
  <c r="B1103" i="1" l="1"/>
  <c r="A1105" i="1"/>
  <c r="E1094" i="1"/>
  <c r="F1091" i="1"/>
  <c r="M1105" i="3"/>
  <c r="L1106" i="3"/>
  <c r="A1106" i="1" l="1"/>
  <c r="E1095" i="1"/>
  <c r="B1104" i="1"/>
  <c r="F1092" i="1"/>
  <c r="L1107" i="3"/>
  <c r="M1106" i="3"/>
  <c r="A1107" i="1" l="1"/>
  <c r="E1096" i="1"/>
  <c r="B1105" i="1"/>
  <c r="F1093" i="1"/>
  <c r="M1107" i="3"/>
  <c r="L1108" i="3"/>
  <c r="M1108" i="3" l="1"/>
  <c r="L1109" i="3"/>
  <c r="A1108" i="1"/>
  <c r="E1097" i="1"/>
  <c r="B1106" i="1"/>
  <c r="F1094" i="1"/>
  <c r="A1109" i="1" l="1"/>
  <c r="E1098" i="1"/>
  <c r="B1107" i="1"/>
  <c r="F1095" i="1"/>
  <c r="M1109" i="3"/>
  <c r="L1110" i="3"/>
  <c r="M1110" i="3" l="1"/>
  <c r="L1111" i="3"/>
  <c r="B1108" i="1"/>
  <c r="A1110" i="1"/>
  <c r="E1099" i="1"/>
  <c r="F1096" i="1"/>
  <c r="L1112" i="3" l="1"/>
  <c r="M1111" i="3"/>
  <c r="A1111" i="1"/>
  <c r="B1109" i="1"/>
  <c r="E1100" i="1"/>
  <c r="F1097" i="1"/>
  <c r="M1112" i="3" l="1"/>
  <c r="L1113" i="3"/>
  <c r="A1112" i="1"/>
  <c r="E1101" i="1"/>
  <c r="F1098" i="1"/>
  <c r="B1110" i="1"/>
  <c r="A1113" i="1" l="1"/>
  <c r="B1111" i="1"/>
  <c r="E1102" i="1"/>
  <c r="F1099" i="1"/>
  <c r="L1114" i="3"/>
  <c r="M1113" i="3"/>
  <c r="A1114" i="1" l="1"/>
  <c r="E1103" i="1"/>
  <c r="B1112" i="1"/>
  <c r="F1100" i="1"/>
  <c r="M1114" i="3"/>
  <c r="L1115" i="3"/>
  <c r="A1115" i="1" l="1"/>
  <c r="B1113" i="1"/>
  <c r="E1104" i="1"/>
  <c r="F1101" i="1"/>
  <c r="L1116" i="3"/>
  <c r="M1115" i="3"/>
  <c r="A1116" i="1" l="1"/>
  <c r="E1105" i="1"/>
  <c r="B1114" i="1"/>
  <c r="F1102" i="1"/>
  <c r="M1116" i="3"/>
  <c r="L1117" i="3"/>
  <c r="B1115" i="1"/>
  <c r="M1117" i="3" l="1"/>
  <c r="L1118" i="3"/>
  <c r="A1117" i="1"/>
  <c r="E1106" i="1"/>
  <c r="F1103" i="1"/>
  <c r="M1118" i="3" l="1"/>
  <c r="L1119" i="3"/>
  <c r="A1118" i="1"/>
  <c r="E1107" i="1"/>
  <c r="B1116" i="1"/>
  <c r="F1104" i="1"/>
  <c r="M1119" i="3" l="1"/>
  <c r="L1120" i="3"/>
  <c r="B1117" i="1"/>
  <c r="A1119" i="1"/>
  <c r="E1108" i="1"/>
  <c r="F1105" i="1"/>
  <c r="A1120" i="1" l="1"/>
  <c r="B1118" i="1"/>
  <c r="E1109" i="1"/>
  <c r="F1106" i="1"/>
  <c r="L1121" i="3"/>
  <c r="M1120" i="3"/>
  <c r="M1121" i="3" l="1"/>
  <c r="L1122" i="3"/>
  <c r="B1119" i="1"/>
  <c r="A1121" i="1"/>
  <c r="E1110" i="1"/>
  <c r="F1107" i="1"/>
  <c r="L1123" i="3" l="1"/>
  <c r="M1122" i="3"/>
  <c r="A1122" i="1"/>
  <c r="E1111" i="1"/>
  <c r="B1120" i="1"/>
  <c r="F1108" i="1"/>
  <c r="A1123" i="1" l="1"/>
  <c r="E1112" i="1"/>
  <c r="B1121" i="1"/>
  <c r="F1109" i="1"/>
  <c r="M1123" i="3"/>
  <c r="L1124" i="3"/>
  <c r="A1124" i="1" l="1"/>
  <c r="E1113" i="1"/>
  <c r="B1122" i="1"/>
  <c r="F1110" i="1"/>
  <c r="L1125" i="3"/>
  <c r="M1124" i="3"/>
  <c r="A1125" i="1" l="1"/>
  <c r="E1114" i="1"/>
  <c r="B1123" i="1"/>
  <c r="F1111" i="1"/>
  <c r="M1125" i="3"/>
  <c r="L1126" i="3"/>
  <c r="B1124" i="1"/>
  <c r="M1126" i="3" l="1"/>
  <c r="L1127" i="3"/>
  <c r="A1126" i="1"/>
  <c r="E1115" i="1"/>
  <c r="F1112" i="1"/>
  <c r="M1127" i="3" l="1"/>
  <c r="L1128" i="3"/>
  <c r="B1126" i="1"/>
  <c r="A1127" i="1"/>
  <c r="B1125" i="1"/>
  <c r="E1116" i="1"/>
  <c r="F1113" i="1"/>
  <c r="M1128" i="3" l="1"/>
  <c r="L1129" i="3"/>
  <c r="A1128" i="1"/>
  <c r="E1117" i="1"/>
  <c r="F1114" i="1"/>
  <c r="A1129" i="1" l="1"/>
  <c r="B1127" i="1"/>
  <c r="E1118" i="1"/>
  <c r="F1115" i="1"/>
  <c r="L1130" i="3"/>
  <c r="M1129" i="3"/>
  <c r="M1130" i="3" l="1"/>
  <c r="L1131" i="3"/>
  <c r="A1130" i="1"/>
  <c r="E1119" i="1"/>
  <c r="F1116" i="1"/>
  <c r="B1128" i="1"/>
  <c r="L1132" i="3" l="1"/>
  <c r="M1131" i="3"/>
  <c r="A1131" i="1"/>
  <c r="E1120" i="1"/>
  <c r="B1129" i="1"/>
  <c r="F1117" i="1"/>
  <c r="A1132" i="1" l="1"/>
  <c r="B1130" i="1"/>
  <c r="E1121" i="1"/>
  <c r="F1118" i="1"/>
  <c r="M1132" i="3"/>
  <c r="L1133" i="3"/>
  <c r="M1133" i="3" l="1"/>
  <c r="L1134" i="3"/>
  <c r="A1133" i="1"/>
  <c r="B1131" i="1"/>
  <c r="E1122" i="1"/>
  <c r="F1119" i="1"/>
  <c r="B1132" i="1"/>
  <c r="M1134" i="3" l="1"/>
  <c r="L1135" i="3"/>
  <c r="A1134" i="1"/>
  <c r="E1123" i="1"/>
  <c r="F1120" i="1"/>
  <c r="M1135" i="3" l="1"/>
  <c r="L1136" i="3"/>
  <c r="A1135" i="1"/>
  <c r="B1133" i="1"/>
  <c r="E1124" i="1"/>
  <c r="F1121" i="1"/>
  <c r="B1134" i="1"/>
  <c r="L1137" i="3" l="1"/>
  <c r="M1136" i="3"/>
  <c r="A1136" i="1"/>
  <c r="E1125" i="1"/>
  <c r="F1122" i="1"/>
  <c r="A1137" i="1" l="1"/>
  <c r="B1135" i="1"/>
  <c r="E1126" i="1"/>
  <c r="F1123" i="1"/>
  <c r="M1137" i="3"/>
  <c r="L1138" i="3"/>
  <c r="L1139" i="3" l="1"/>
  <c r="M1138" i="3"/>
  <c r="A1138" i="1"/>
  <c r="E1127" i="1"/>
  <c r="F1124" i="1"/>
  <c r="B1136" i="1"/>
  <c r="A1139" i="1" l="1"/>
  <c r="E1128" i="1"/>
  <c r="B1137" i="1"/>
  <c r="F1125" i="1"/>
  <c r="M1139" i="3"/>
  <c r="L1140" i="3"/>
  <c r="L1141" i="3" l="1"/>
  <c r="M1140" i="3"/>
  <c r="B1138" i="1"/>
  <c r="A1140" i="1"/>
  <c r="E1129" i="1"/>
  <c r="F1126" i="1"/>
  <c r="A1141" i="1" l="1"/>
  <c r="B1139" i="1"/>
  <c r="E1130" i="1"/>
  <c r="F1127" i="1"/>
  <c r="M1141" i="3"/>
  <c r="B1140" i="1" s="1"/>
  <c r="L1142" i="3"/>
  <c r="A1142" i="1" l="1"/>
  <c r="E1131" i="1"/>
  <c r="F1128" i="1"/>
  <c r="L1143" i="3"/>
  <c r="M1142" i="3"/>
  <c r="A1143" i="1" l="1"/>
  <c r="B1141" i="1"/>
  <c r="E1132" i="1"/>
  <c r="F1129" i="1"/>
  <c r="M1143" i="3"/>
  <c r="L1144" i="3"/>
  <c r="A1144" i="1" l="1"/>
  <c r="E1133" i="1"/>
  <c r="F1130" i="1"/>
  <c r="B1142" i="1"/>
  <c r="M1144" i="3"/>
  <c r="B1143" i="1" s="1"/>
  <c r="L1145" i="3"/>
  <c r="M1145" i="3" l="1"/>
  <c r="L1146" i="3"/>
  <c r="A1145" i="1"/>
  <c r="E1134" i="1"/>
  <c r="F1131" i="1"/>
  <c r="L1147" i="3" l="1"/>
  <c r="M1146" i="3"/>
  <c r="A1146" i="1"/>
  <c r="E1135" i="1"/>
  <c r="F1132" i="1"/>
  <c r="B1144" i="1"/>
  <c r="A1147" i="1" l="1"/>
  <c r="E1136" i="1"/>
  <c r="B1145" i="1"/>
  <c r="F1133" i="1"/>
  <c r="M1147" i="3"/>
  <c r="L1148" i="3"/>
  <c r="M1148" i="3" l="1"/>
  <c r="L1149" i="3"/>
  <c r="A1148" i="1"/>
  <c r="B1146" i="1"/>
  <c r="E1137" i="1"/>
  <c r="F1134" i="1"/>
  <c r="M1149" i="3" l="1"/>
  <c r="L1150" i="3"/>
  <c r="B1148" i="1"/>
  <c r="A1149" i="1"/>
  <c r="B1147" i="1"/>
  <c r="E1138" i="1"/>
  <c r="F1135" i="1"/>
  <c r="M1150" i="3" l="1"/>
  <c r="L1151" i="3"/>
  <c r="A1150" i="1"/>
  <c r="E1139" i="1"/>
  <c r="F1136" i="1"/>
  <c r="M1151" i="3" l="1"/>
  <c r="L1152" i="3"/>
  <c r="A1151" i="1"/>
  <c r="B1149" i="1"/>
  <c r="E1140" i="1"/>
  <c r="F1137" i="1"/>
  <c r="M1152" i="3" l="1"/>
  <c r="L1153" i="3"/>
  <c r="A1152" i="1"/>
  <c r="E1141" i="1"/>
  <c r="F1138" i="1"/>
  <c r="B1150" i="1"/>
  <c r="M1153" i="3" l="1"/>
  <c r="L1154" i="3"/>
  <c r="B1152" i="1"/>
  <c r="A1153" i="1"/>
  <c r="B1151" i="1"/>
  <c r="E1142" i="1"/>
  <c r="F1139" i="1"/>
  <c r="M1154" i="3" l="1"/>
  <c r="L1155" i="3"/>
  <c r="A1154" i="1"/>
  <c r="E1143" i="1"/>
  <c r="F1140" i="1"/>
  <c r="M1155" i="3" l="1"/>
  <c r="B1154" i="1" s="1"/>
  <c r="L1156" i="3"/>
  <c r="A1155" i="1"/>
  <c r="E1144" i="1"/>
  <c r="B1153" i="1"/>
  <c r="F1141" i="1"/>
  <c r="A1156" i="1" l="1"/>
  <c r="E1145" i="1"/>
  <c r="F1142" i="1"/>
  <c r="M1156" i="3"/>
  <c r="L1157" i="3"/>
  <c r="L1158" i="3" l="1"/>
  <c r="M1157" i="3"/>
  <c r="B1155" i="1"/>
  <c r="A1157" i="1"/>
  <c r="E1146" i="1"/>
  <c r="F1143" i="1"/>
  <c r="B1156" i="1" l="1"/>
  <c r="A1158" i="1"/>
  <c r="E1147" i="1"/>
  <c r="F1144" i="1"/>
  <c r="M1158" i="3"/>
  <c r="L1159" i="3"/>
  <c r="B1157" i="1" l="1"/>
  <c r="A1159" i="1"/>
  <c r="E1148" i="1"/>
  <c r="F1145" i="1"/>
  <c r="L1160" i="3"/>
  <c r="M1159" i="3"/>
  <c r="B1158" i="1"/>
  <c r="M1160" i="3" l="1"/>
  <c r="L1161" i="3"/>
  <c r="A1160" i="1"/>
  <c r="E1149" i="1"/>
  <c r="F1146" i="1"/>
  <c r="B1159" i="1"/>
  <c r="M1161" i="3" l="1"/>
  <c r="L1162" i="3"/>
  <c r="A1161" i="1"/>
  <c r="E1150" i="1"/>
  <c r="F1147" i="1"/>
  <c r="A1162" i="1" l="1"/>
  <c r="E1151" i="1"/>
  <c r="F1148" i="1"/>
  <c r="B1160" i="1"/>
  <c r="M1162" i="3"/>
  <c r="L1163" i="3"/>
  <c r="M1163" i="3" l="1"/>
  <c r="L1164" i="3"/>
  <c r="A1163" i="1"/>
  <c r="E1152" i="1"/>
  <c r="F1149" i="1"/>
  <c r="B1161" i="1"/>
  <c r="B1162" i="1" l="1"/>
  <c r="A1164" i="1"/>
  <c r="E1153" i="1"/>
  <c r="F1150" i="1"/>
  <c r="M1164" i="3"/>
  <c r="L1165" i="3"/>
  <c r="M1165" i="3" l="1"/>
  <c r="L1166" i="3"/>
  <c r="B1163" i="1"/>
  <c r="A1165" i="1"/>
  <c r="E1154" i="1"/>
  <c r="F1151" i="1"/>
  <c r="L1167" i="3" l="1"/>
  <c r="M1166" i="3"/>
  <c r="B1164" i="1"/>
  <c r="A1166" i="1"/>
  <c r="E1155" i="1"/>
  <c r="F1152" i="1"/>
  <c r="B1165" i="1" l="1"/>
  <c r="A1167" i="1"/>
  <c r="E1156" i="1"/>
  <c r="F1153" i="1"/>
  <c r="M1167" i="3"/>
  <c r="L1168" i="3"/>
  <c r="A1168" i="1" l="1"/>
  <c r="E1157" i="1"/>
  <c r="F1154" i="1"/>
  <c r="B1166" i="1"/>
  <c r="L1169" i="3"/>
  <c r="M1168" i="3"/>
  <c r="A1169" i="1" l="1"/>
  <c r="B1167" i="1"/>
  <c r="E1158" i="1"/>
  <c r="F1155" i="1"/>
  <c r="M1169" i="3"/>
  <c r="B1168" i="1" s="1"/>
  <c r="L1170" i="3"/>
  <c r="A1170" i="1" l="1"/>
  <c r="E1159" i="1"/>
  <c r="F1156" i="1"/>
  <c r="L1171" i="3"/>
  <c r="M1170" i="3"/>
  <c r="A1171" i="1" l="1"/>
  <c r="B1169" i="1"/>
  <c r="E1160" i="1"/>
  <c r="F1157" i="1"/>
  <c r="M1171" i="3"/>
  <c r="L1172" i="3"/>
  <c r="B1170" i="1"/>
  <c r="L1173" i="3" l="1"/>
  <c r="M1172" i="3"/>
  <c r="A1172" i="1"/>
  <c r="E1161" i="1"/>
  <c r="F1158" i="1"/>
  <c r="B1171" i="1" l="1"/>
  <c r="A1173" i="1"/>
  <c r="E1162" i="1"/>
  <c r="F1159" i="1"/>
  <c r="M1173" i="3"/>
  <c r="L1174" i="3"/>
  <c r="L1175" i="3" l="1"/>
  <c r="M1174" i="3"/>
  <c r="B1172" i="1"/>
  <c r="A1174" i="1"/>
  <c r="E1163" i="1"/>
  <c r="F1160" i="1"/>
  <c r="M1175" i="3" l="1"/>
  <c r="B1174" i="1" s="1"/>
  <c r="L1176" i="3"/>
  <c r="B1173" i="1"/>
  <c r="A1175" i="1"/>
  <c r="E1164" i="1"/>
  <c r="F1161" i="1"/>
  <c r="L1177" i="3" l="1"/>
  <c r="M1176" i="3"/>
  <c r="B1175" i="1" s="1"/>
  <c r="A1176" i="1"/>
  <c r="E1165" i="1"/>
  <c r="F1162" i="1"/>
  <c r="M1177" i="3" l="1"/>
  <c r="L1178" i="3"/>
  <c r="A1177" i="1"/>
  <c r="E1166" i="1"/>
  <c r="F1163" i="1"/>
  <c r="B1176" i="1"/>
  <c r="L1179" i="3" l="1"/>
  <c r="M1178" i="3"/>
  <c r="B1177" i="1" s="1"/>
  <c r="A1178" i="1"/>
  <c r="E1167" i="1"/>
  <c r="F1164" i="1"/>
  <c r="M1179" i="3" l="1"/>
  <c r="L1180" i="3"/>
  <c r="A1179" i="1"/>
  <c r="E1168" i="1"/>
  <c r="F1165" i="1"/>
  <c r="M1180" i="3" l="1"/>
  <c r="L1181" i="3"/>
  <c r="B1178" i="1"/>
  <c r="A1180" i="1"/>
  <c r="E1169" i="1"/>
  <c r="F1166" i="1"/>
  <c r="M1181" i="3" l="1"/>
  <c r="L1182" i="3"/>
  <c r="B1179" i="1"/>
  <c r="A1181" i="1"/>
  <c r="E1170" i="1"/>
  <c r="F1167" i="1"/>
  <c r="M1182" i="3" l="1"/>
  <c r="L1183" i="3"/>
  <c r="B1180" i="1"/>
  <c r="A1182" i="1"/>
  <c r="E1171" i="1"/>
  <c r="F1168" i="1"/>
  <c r="M1183" i="3" l="1"/>
  <c r="L1184" i="3"/>
  <c r="B1182" i="1"/>
  <c r="B1181" i="1"/>
  <c r="A1183" i="1"/>
  <c r="E1172" i="1"/>
  <c r="F1169" i="1"/>
  <c r="L1185" i="3" l="1"/>
  <c r="M1184" i="3"/>
  <c r="A1184" i="1"/>
  <c r="E1173" i="1"/>
  <c r="F1170" i="1"/>
  <c r="M1185" i="3" l="1"/>
  <c r="B1184" i="1" s="1"/>
  <c r="L1186" i="3"/>
  <c r="A1185" i="1"/>
  <c r="B1183" i="1"/>
  <c r="E1174" i="1"/>
  <c r="F1171" i="1"/>
  <c r="M1186" i="3" l="1"/>
  <c r="L1187" i="3"/>
  <c r="A1186" i="1"/>
  <c r="E1175" i="1"/>
  <c r="F1172" i="1"/>
  <c r="M1187" i="3" l="1"/>
  <c r="L1188" i="3"/>
  <c r="B1186" i="1"/>
  <c r="A1187" i="1"/>
  <c r="B1185" i="1"/>
  <c r="E1176" i="1"/>
  <c r="F1173" i="1"/>
  <c r="M1188" i="3" l="1"/>
  <c r="L1189" i="3"/>
  <c r="A1188" i="1"/>
  <c r="E1177" i="1"/>
  <c r="F1174" i="1"/>
  <c r="M1189" i="3" l="1"/>
  <c r="L1190" i="3"/>
  <c r="B1187" i="1"/>
  <c r="A1189" i="1"/>
  <c r="E1178" i="1"/>
  <c r="F1175" i="1"/>
  <c r="L1191" i="3" l="1"/>
  <c r="M1190" i="3"/>
  <c r="B1188" i="1"/>
  <c r="A1190" i="1"/>
  <c r="E1179" i="1"/>
  <c r="F1176" i="1"/>
  <c r="B1189" i="1" l="1"/>
  <c r="A1191" i="1"/>
  <c r="E1180" i="1"/>
  <c r="F1177" i="1"/>
  <c r="M1191" i="3"/>
  <c r="L1192" i="3"/>
  <c r="A1192" i="1" l="1"/>
  <c r="E1181" i="1"/>
  <c r="F1178" i="1"/>
  <c r="L1193" i="3"/>
  <c r="M1192" i="3"/>
  <c r="B1190" i="1"/>
  <c r="A1193" i="1" l="1"/>
  <c r="E1182" i="1"/>
  <c r="F1179" i="1"/>
  <c r="B1191" i="1"/>
  <c r="M1193" i="3"/>
  <c r="B1192" i="1" s="1"/>
  <c r="L1194" i="3"/>
  <c r="A1194" i="1" l="1"/>
  <c r="E1183" i="1"/>
  <c r="F1180" i="1"/>
  <c r="M1194" i="3"/>
  <c r="B1193" i="1" s="1"/>
  <c r="L1195" i="3"/>
  <c r="L1196" i="3" l="1"/>
  <c r="M1195" i="3"/>
  <c r="A1195" i="1"/>
  <c r="E1184" i="1"/>
  <c r="F1181" i="1"/>
  <c r="M1196" i="3" l="1"/>
  <c r="L1197" i="3"/>
  <c r="B1194" i="1"/>
  <c r="A1196" i="1"/>
  <c r="E1185" i="1"/>
  <c r="F1182" i="1"/>
  <c r="L1198" i="3" l="1"/>
  <c r="M1197" i="3"/>
  <c r="B1195" i="1"/>
  <c r="A1197" i="1"/>
  <c r="E1186" i="1"/>
  <c r="F1183" i="1"/>
  <c r="B1196" i="1" l="1"/>
  <c r="A1198" i="1"/>
  <c r="E1187" i="1"/>
  <c r="F1184" i="1"/>
  <c r="M1198" i="3"/>
  <c r="L1199" i="3"/>
  <c r="M1199" i="3" l="1"/>
  <c r="L1200" i="3"/>
  <c r="B1198" i="1"/>
  <c r="B1197" i="1"/>
  <c r="A1199" i="1"/>
  <c r="E1188" i="1"/>
  <c r="F1185" i="1"/>
  <c r="M1200" i="3" l="1"/>
  <c r="L1201" i="3"/>
  <c r="A1200" i="1"/>
  <c r="E1189" i="1"/>
  <c r="F1186" i="1"/>
  <c r="A1201" i="1" l="1"/>
  <c r="B1199" i="1"/>
  <c r="E1190" i="1"/>
  <c r="F1187" i="1"/>
  <c r="L1202" i="3"/>
  <c r="M1201" i="3"/>
  <c r="M1202" i="3" l="1"/>
  <c r="L1203" i="3"/>
  <c r="A1202" i="1"/>
  <c r="E1191" i="1"/>
  <c r="F1188" i="1"/>
  <c r="B1200" i="1"/>
  <c r="L1204" i="3" l="1"/>
  <c r="M1203" i="3"/>
  <c r="B1201" i="1"/>
  <c r="A1203" i="1"/>
  <c r="E1192" i="1"/>
  <c r="F1189" i="1"/>
  <c r="M1204" i="3" l="1"/>
  <c r="L1205" i="3"/>
  <c r="A1204" i="1"/>
  <c r="E1193" i="1"/>
  <c r="F1190" i="1"/>
  <c r="B1202" i="1"/>
  <c r="M1205" i="3" l="1"/>
  <c r="L1206" i="3"/>
  <c r="B1203" i="1"/>
  <c r="A1205" i="1"/>
  <c r="E1194" i="1"/>
  <c r="F1191" i="1"/>
  <c r="B1204" i="1" l="1"/>
  <c r="A1206" i="1"/>
  <c r="E1195" i="1"/>
  <c r="F1192" i="1"/>
  <c r="M1206" i="3"/>
  <c r="L1207" i="3"/>
  <c r="A1207" i="1" l="1"/>
  <c r="B1205" i="1"/>
  <c r="E1196" i="1"/>
  <c r="F1193" i="1"/>
  <c r="L1208" i="3"/>
  <c r="M1207" i="3"/>
  <c r="B1206" i="1" s="1"/>
  <c r="A1208" i="1" l="1"/>
  <c r="E1197" i="1"/>
  <c r="F1194" i="1"/>
  <c r="M1208" i="3"/>
  <c r="L1209" i="3"/>
  <c r="A1209" i="1" l="1"/>
  <c r="E1198" i="1"/>
  <c r="F1195" i="1"/>
  <c r="L1210" i="3"/>
  <c r="M1209" i="3"/>
  <c r="B1207" i="1"/>
  <c r="B1208" i="1"/>
  <c r="M1210" i="3" l="1"/>
  <c r="L1211" i="3"/>
  <c r="A1210" i="1"/>
  <c r="E1199" i="1"/>
  <c r="F1196" i="1"/>
  <c r="B1209" i="1"/>
  <c r="L1212" i="3" l="1"/>
  <c r="M1211" i="3"/>
  <c r="A1211" i="1"/>
  <c r="E1200" i="1"/>
  <c r="F1197" i="1"/>
  <c r="B1210" i="1" l="1"/>
  <c r="A1212" i="1"/>
  <c r="E1201" i="1"/>
  <c r="F1198" i="1"/>
  <c r="M1212" i="3"/>
  <c r="L1213" i="3"/>
  <c r="L1214" i="3" l="1"/>
  <c r="M1213" i="3"/>
  <c r="B1211" i="1"/>
  <c r="A1213" i="1"/>
  <c r="E1202" i="1"/>
  <c r="F1199" i="1"/>
  <c r="A1214" i="1" l="1"/>
  <c r="B1212" i="1"/>
  <c r="E1203" i="1"/>
  <c r="F1200" i="1"/>
  <c r="M1214" i="3"/>
  <c r="L1215" i="3"/>
  <c r="L1216" i="3" l="1"/>
  <c r="M1215" i="3"/>
  <c r="B1213" i="1"/>
  <c r="A1215" i="1"/>
  <c r="E1204" i="1"/>
  <c r="F1201" i="1"/>
  <c r="B1214" i="1"/>
  <c r="A1216" i="1" l="1"/>
  <c r="E1205" i="1"/>
  <c r="F1202" i="1"/>
  <c r="M1216" i="3"/>
  <c r="L1217" i="3"/>
  <c r="B1215" i="1" l="1"/>
  <c r="A1217" i="1"/>
  <c r="E1206" i="1"/>
  <c r="F1203" i="1"/>
  <c r="L1218" i="3"/>
  <c r="M1217" i="3"/>
  <c r="B1216" i="1"/>
  <c r="A1218" i="1" l="1"/>
  <c r="E1207" i="1"/>
  <c r="F1204" i="1"/>
  <c r="M1218" i="3"/>
  <c r="L1219" i="3"/>
  <c r="B1217" i="1" l="1"/>
  <c r="A1219" i="1"/>
  <c r="E1208" i="1"/>
  <c r="F1205" i="1"/>
  <c r="L1220" i="3"/>
  <c r="M1219" i="3"/>
  <c r="B1218" i="1" s="1"/>
  <c r="A1220" i="1" l="1"/>
  <c r="E1209" i="1"/>
  <c r="F1206" i="1"/>
  <c r="M1220" i="3"/>
  <c r="L1221" i="3"/>
  <c r="B1219" i="1" l="1"/>
  <c r="A1221" i="1"/>
  <c r="E1210" i="1"/>
  <c r="F1207" i="1"/>
  <c r="M1221" i="3"/>
  <c r="L1222" i="3"/>
  <c r="M1222" i="3" l="1"/>
  <c r="L1223" i="3"/>
  <c r="B1220" i="1"/>
  <c r="A1222" i="1"/>
  <c r="E1211" i="1"/>
  <c r="F1208" i="1"/>
  <c r="L1224" i="3" l="1"/>
  <c r="M1223" i="3"/>
  <c r="B1221" i="1"/>
  <c r="A1223" i="1"/>
  <c r="E1212" i="1"/>
  <c r="F1209" i="1"/>
  <c r="A1224" i="1" l="1"/>
  <c r="E1213" i="1"/>
  <c r="F1210" i="1"/>
  <c r="M1224" i="3"/>
  <c r="B1223" i="1" s="1"/>
  <c r="L1225" i="3"/>
  <c r="B1222" i="1"/>
  <c r="L1226" i="3" l="1"/>
  <c r="M1225" i="3"/>
  <c r="A1225" i="1"/>
  <c r="E1214" i="1"/>
  <c r="F1211" i="1"/>
  <c r="B1224" i="1"/>
  <c r="A1226" i="1" l="1"/>
  <c r="E1215" i="1"/>
  <c r="F1212" i="1"/>
  <c r="M1226" i="3"/>
  <c r="B1225" i="1" s="1"/>
  <c r="L1227" i="3"/>
  <c r="L1228" i="3" l="1"/>
  <c r="M1227" i="3"/>
  <c r="A1227" i="1"/>
  <c r="E1216" i="1"/>
  <c r="F1213" i="1"/>
  <c r="B1226" i="1" l="1"/>
  <c r="A1228" i="1"/>
  <c r="E1217" i="1"/>
  <c r="F1214" i="1"/>
  <c r="M1228" i="3"/>
  <c r="L1229" i="3"/>
  <c r="B1227" i="1" l="1"/>
  <c r="A1229" i="1"/>
  <c r="E1218" i="1"/>
  <c r="F1215" i="1"/>
  <c r="L1230" i="3"/>
  <c r="M1229" i="3"/>
  <c r="M1230" i="3" l="1"/>
  <c r="L1231" i="3"/>
  <c r="A1230" i="1"/>
  <c r="B1228" i="1"/>
  <c r="E1219" i="1"/>
  <c r="F1216" i="1"/>
  <c r="L1232" i="3" l="1"/>
  <c r="M1231" i="3"/>
  <c r="B1230" i="1"/>
  <c r="A1231" i="1"/>
  <c r="B1229" i="1"/>
  <c r="E1220" i="1"/>
  <c r="F1217" i="1"/>
  <c r="M1232" i="3" l="1"/>
  <c r="L1233" i="3"/>
  <c r="A1232" i="1"/>
  <c r="E1221" i="1"/>
  <c r="F1218" i="1"/>
  <c r="L1234" i="3" l="1"/>
  <c r="M1233" i="3"/>
  <c r="A1233" i="1"/>
  <c r="B1231" i="1"/>
  <c r="E1222" i="1"/>
  <c r="F1219" i="1"/>
  <c r="A1234" i="1" l="1"/>
  <c r="E1223" i="1"/>
  <c r="F1220" i="1"/>
  <c r="M1234" i="3"/>
  <c r="L1235" i="3"/>
  <c r="B1232" i="1"/>
  <c r="L1236" i="3" l="1"/>
  <c r="M1235" i="3"/>
  <c r="A1235" i="1"/>
  <c r="B1233" i="1"/>
  <c r="E1224" i="1"/>
  <c r="F1221" i="1"/>
  <c r="A1236" i="1" l="1"/>
  <c r="E1225" i="1"/>
  <c r="B1234" i="1"/>
  <c r="F1222" i="1"/>
  <c r="M1236" i="3"/>
  <c r="L1237" i="3"/>
  <c r="B1235" i="1" l="1"/>
  <c r="A1237" i="1"/>
  <c r="E1226" i="1"/>
  <c r="F1223" i="1"/>
  <c r="M1237" i="3"/>
  <c r="L1238" i="3"/>
  <c r="L1239" i="3" l="1"/>
  <c r="M1238" i="3"/>
  <c r="B1236" i="1"/>
  <c r="A1238" i="1"/>
  <c r="E1227" i="1"/>
  <c r="F1224" i="1"/>
  <c r="A1239" i="1" l="1"/>
  <c r="B1237" i="1"/>
  <c r="E1228" i="1"/>
  <c r="F1225" i="1"/>
  <c r="M1239" i="3"/>
  <c r="L1240" i="3"/>
  <c r="A1240" i="1" l="1"/>
  <c r="E1229" i="1"/>
  <c r="F1226" i="1"/>
  <c r="B1238" i="1"/>
  <c r="M1240" i="3"/>
  <c r="L1241" i="3"/>
  <c r="L1242" i="3" l="1"/>
  <c r="M1241" i="3"/>
  <c r="A1241" i="1"/>
  <c r="E1230" i="1"/>
  <c r="B1239" i="1"/>
  <c r="F1227" i="1"/>
  <c r="B1240" i="1"/>
  <c r="A1242" i="1" l="1"/>
  <c r="E1231" i="1"/>
  <c r="F1228" i="1"/>
  <c r="M1242" i="3"/>
  <c r="L1243" i="3"/>
  <c r="L1244" i="3" l="1"/>
  <c r="M1243" i="3"/>
  <c r="A1243" i="1"/>
  <c r="E1232" i="1"/>
  <c r="B1241" i="1"/>
  <c r="F1229" i="1"/>
  <c r="B1242" i="1" l="1"/>
  <c r="A1244" i="1"/>
  <c r="E1233" i="1"/>
  <c r="F1230" i="1"/>
  <c r="M1244" i="3"/>
  <c r="L1245" i="3"/>
  <c r="B1243" i="1" l="1"/>
  <c r="A1245" i="1"/>
  <c r="E1234" i="1"/>
  <c r="F1231" i="1"/>
  <c r="L1246" i="3"/>
  <c r="M1245" i="3"/>
  <c r="A1246" i="1" l="1"/>
  <c r="B1244" i="1"/>
  <c r="E1235" i="1"/>
  <c r="F1232" i="1"/>
  <c r="M1246" i="3"/>
  <c r="L1247" i="3"/>
  <c r="M1247" i="3" l="1"/>
  <c r="L1248" i="3"/>
  <c r="A1247" i="1"/>
  <c r="B1245" i="1"/>
  <c r="E1236" i="1"/>
  <c r="F1233" i="1"/>
  <c r="B1246" i="1"/>
  <c r="M1248" i="3" l="1"/>
  <c r="L1249" i="3"/>
  <c r="A1248" i="1"/>
  <c r="E1237" i="1"/>
  <c r="F1234" i="1"/>
  <c r="B1247" i="1" l="1"/>
  <c r="A1249" i="1"/>
  <c r="E1238" i="1"/>
  <c r="F1235" i="1"/>
  <c r="L1250" i="3"/>
  <c r="M1249" i="3"/>
  <c r="M1250" i="3" l="1"/>
  <c r="L1251" i="3"/>
  <c r="A1250" i="1"/>
  <c r="E1239" i="1"/>
  <c r="F1236" i="1"/>
  <c r="B1248" i="1"/>
  <c r="M1251" i="3" l="1"/>
  <c r="L1252" i="3"/>
  <c r="A1251" i="1"/>
  <c r="B1249" i="1"/>
  <c r="E1240" i="1"/>
  <c r="F1237" i="1"/>
  <c r="A1252" i="1" l="1"/>
  <c r="E1241" i="1"/>
  <c r="B1250" i="1"/>
  <c r="F1238" i="1"/>
  <c r="M1252" i="3"/>
  <c r="L1253" i="3"/>
  <c r="B1251" i="1" l="1"/>
  <c r="A1253" i="1"/>
  <c r="E1242" i="1"/>
  <c r="F1239" i="1"/>
  <c r="M1253" i="3"/>
  <c r="L1254" i="3"/>
  <c r="L1255" i="3" l="1"/>
  <c r="M1254" i="3"/>
  <c r="B1252" i="1"/>
  <c r="A1254" i="1"/>
  <c r="E1243" i="1"/>
  <c r="F1240" i="1"/>
  <c r="A1255" i="1" l="1"/>
  <c r="B1253" i="1"/>
  <c r="E1244" i="1"/>
  <c r="F1241" i="1"/>
  <c r="M1255" i="3"/>
  <c r="L1256" i="3"/>
  <c r="A1256" i="1" l="1"/>
  <c r="E1245" i="1"/>
  <c r="F1242" i="1"/>
  <c r="B1254" i="1"/>
  <c r="L1257" i="3"/>
  <c r="M1256" i="3"/>
  <c r="A1257" i="1" l="1"/>
  <c r="E1246" i="1"/>
  <c r="B1255" i="1"/>
  <c r="F1243" i="1"/>
  <c r="M1257" i="3"/>
  <c r="L1258" i="3"/>
  <c r="M1258" i="3" l="1"/>
  <c r="L1259" i="3"/>
  <c r="B1257" i="1"/>
  <c r="A1258" i="1"/>
  <c r="B1256" i="1"/>
  <c r="E1247" i="1"/>
  <c r="F1244" i="1"/>
  <c r="M1259" i="3" l="1"/>
  <c r="L1260" i="3"/>
  <c r="A1259" i="1"/>
  <c r="E1248" i="1"/>
  <c r="F1245" i="1"/>
  <c r="A1260" i="1" l="1"/>
  <c r="B1258" i="1"/>
  <c r="E1249" i="1"/>
  <c r="F1246" i="1"/>
  <c r="L1261" i="3"/>
  <c r="M1260" i="3"/>
  <c r="B1259" i="1" l="1"/>
  <c r="A1261" i="1"/>
  <c r="E1250" i="1"/>
  <c r="F1247" i="1"/>
  <c r="M1261" i="3"/>
  <c r="L1262" i="3"/>
  <c r="M1262" i="3" l="1"/>
  <c r="L1263" i="3"/>
  <c r="A1262" i="1"/>
  <c r="E1251" i="1"/>
  <c r="B1260" i="1"/>
  <c r="F1248" i="1"/>
  <c r="B1261" i="1"/>
  <c r="L1264" i="3" l="1"/>
  <c r="M1263" i="3"/>
  <c r="B1262" i="1" s="1"/>
  <c r="A1263" i="1"/>
  <c r="E1252" i="1"/>
  <c r="F1249" i="1"/>
  <c r="M1264" i="3" l="1"/>
  <c r="L1265" i="3"/>
  <c r="A1264" i="1"/>
  <c r="E1253" i="1"/>
  <c r="F1250" i="1"/>
  <c r="A1265" i="1" l="1"/>
  <c r="B1263" i="1"/>
  <c r="E1254" i="1"/>
  <c r="F1251" i="1"/>
  <c r="M1265" i="3"/>
  <c r="L1266" i="3"/>
  <c r="B1264" i="1" l="1"/>
  <c r="A1266" i="1"/>
  <c r="E1255" i="1"/>
  <c r="F1252" i="1"/>
  <c r="M1266" i="3"/>
  <c r="L1267" i="3"/>
  <c r="B1265" i="1" l="1"/>
  <c r="A1267" i="1"/>
  <c r="E1256" i="1"/>
  <c r="F1253" i="1"/>
  <c r="M1267" i="3"/>
  <c r="L1268" i="3"/>
  <c r="B1266" i="1" l="1"/>
  <c r="A1268" i="1"/>
  <c r="E1257" i="1"/>
  <c r="F1254" i="1"/>
  <c r="M1268" i="3"/>
  <c r="L1269" i="3"/>
  <c r="L1270" i="3" l="1"/>
  <c r="M1269" i="3"/>
  <c r="B1267" i="1"/>
  <c r="A1269" i="1"/>
  <c r="E1258" i="1"/>
  <c r="F1255" i="1"/>
  <c r="A1270" i="1" l="1"/>
  <c r="B1268" i="1"/>
  <c r="E1259" i="1"/>
  <c r="F1256" i="1"/>
  <c r="M1270" i="3"/>
  <c r="L1271" i="3"/>
  <c r="A1271" i="1" l="1"/>
  <c r="E1260" i="1"/>
  <c r="F1257" i="1"/>
  <c r="B1269" i="1"/>
  <c r="L1272" i="3"/>
  <c r="M1271" i="3"/>
  <c r="B1270" i="1" s="1"/>
  <c r="M1272" i="3" l="1"/>
  <c r="L1273" i="3"/>
  <c r="B1271" i="1"/>
  <c r="A1272" i="1"/>
  <c r="E1261" i="1"/>
  <c r="F1258" i="1"/>
  <c r="L1274" i="3" l="1"/>
  <c r="M1273" i="3"/>
  <c r="A1273" i="1"/>
  <c r="E1262" i="1"/>
  <c r="F1259" i="1"/>
  <c r="A1274" i="1" l="1"/>
  <c r="E1263" i="1"/>
  <c r="F1260" i="1"/>
  <c r="M1274" i="3"/>
  <c r="L1275" i="3"/>
  <c r="B1272" i="1"/>
  <c r="A1275" i="1" l="1"/>
  <c r="E1264" i="1"/>
  <c r="B1273" i="1"/>
  <c r="F1261" i="1"/>
  <c r="L1276" i="3"/>
  <c r="M1275" i="3"/>
  <c r="B1274" i="1" l="1"/>
  <c r="A1276" i="1"/>
  <c r="E1265" i="1"/>
  <c r="F1262" i="1"/>
  <c r="M1276" i="3"/>
  <c r="L1277" i="3"/>
  <c r="L1278" i="3" l="1"/>
  <c r="M1277" i="3"/>
  <c r="A1277" i="1"/>
  <c r="B1275" i="1"/>
  <c r="E1266" i="1"/>
  <c r="F1263" i="1"/>
  <c r="B1276" i="1" l="1"/>
  <c r="A1278" i="1"/>
  <c r="E1267" i="1"/>
  <c r="F1264" i="1"/>
  <c r="M1278" i="3"/>
  <c r="L1279" i="3"/>
  <c r="B1277" i="1" l="1"/>
  <c r="A1279" i="1"/>
  <c r="E1268" i="1"/>
  <c r="F1265" i="1"/>
  <c r="L1280" i="3"/>
  <c r="M1279" i="3"/>
  <c r="B1278" i="1" s="1"/>
  <c r="A1280" i="1" l="1"/>
  <c r="E1269" i="1"/>
  <c r="F1266" i="1"/>
  <c r="M1280" i="3"/>
  <c r="L1281" i="3"/>
  <c r="A1281" i="1" l="1"/>
  <c r="B1279" i="1"/>
  <c r="E1270" i="1"/>
  <c r="F1267" i="1"/>
  <c r="L1282" i="3"/>
  <c r="M1281" i="3"/>
  <c r="M1282" i="3" l="1"/>
  <c r="L1283" i="3"/>
  <c r="A1282" i="1"/>
  <c r="B1280" i="1"/>
  <c r="E1271" i="1"/>
  <c r="F1268" i="1"/>
  <c r="M1283" i="3" l="1"/>
  <c r="L1284" i="3"/>
  <c r="B1281" i="1"/>
  <c r="A1283" i="1"/>
  <c r="E1272" i="1"/>
  <c r="F1269" i="1"/>
  <c r="M1284" i="3" l="1"/>
  <c r="L1285" i="3"/>
  <c r="B1282" i="1"/>
  <c r="A1284" i="1"/>
  <c r="E1273" i="1"/>
  <c r="F1270" i="1"/>
  <c r="A1285" i="1" l="1"/>
  <c r="B1283" i="1"/>
  <c r="E1274" i="1"/>
  <c r="F1271" i="1"/>
  <c r="M1285" i="3"/>
  <c r="L1286" i="3"/>
  <c r="A1286" i="1" l="1"/>
  <c r="E1275" i="1"/>
  <c r="F1272" i="1"/>
  <c r="B1284" i="1"/>
  <c r="L1287" i="3"/>
  <c r="M1286" i="3"/>
  <c r="A1287" i="1" l="1"/>
  <c r="E1276" i="1"/>
  <c r="B1285" i="1"/>
  <c r="F1273" i="1"/>
  <c r="M1287" i="3"/>
  <c r="L1288" i="3"/>
  <c r="L1289" i="3" l="1"/>
  <c r="M1288" i="3"/>
  <c r="A1288" i="1"/>
  <c r="E1277" i="1"/>
  <c r="B1286" i="1"/>
  <c r="F1274" i="1"/>
  <c r="B1287" i="1" l="1"/>
  <c r="A1289" i="1"/>
  <c r="E1278" i="1"/>
  <c r="F1275" i="1"/>
  <c r="M1289" i="3"/>
  <c r="L1290" i="3"/>
  <c r="L1291" i="3" l="1"/>
  <c r="M1290" i="3"/>
  <c r="A1290" i="1"/>
  <c r="B1288" i="1"/>
  <c r="E1279" i="1"/>
  <c r="F1276" i="1"/>
  <c r="A1291" i="1" l="1"/>
  <c r="E1280" i="1"/>
  <c r="B1289" i="1"/>
  <c r="F1277" i="1"/>
  <c r="M1291" i="3"/>
  <c r="L1292" i="3"/>
  <c r="L1293" i="3" l="1"/>
  <c r="M1292" i="3"/>
  <c r="B1290" i="1"/>
  <c r="A1292" i="1"/>
  <c r="E1281" i="1"/>
  <c r="F1278" i="1"/>
  <c r="A1293" i="1" l="1"/>
  <c r="B1291" i="1"/>
  <c r="E1282" i="1"/>
  <c r="F1279" i="1"/>
  <c r="M1293" i="3"/>
  <c r="L1294" i="3"/>
  <c r="B1292" i="1" l="1"/>
  <c r="A1294" i="1"/>
  <c r="E1283" i="1"/>
  <c r="F1280" i="1"/>
  <c r="L1295" i="3"/>
  <c r="M1294" i="3"/>
  <c r="B1293" i="1"/>
  <c r="A1295" i="1" l="1"/>
  <c r="E1284" i="1"/>
  <c r="F1281" i="1"/>
  <c r="M1295" i="3"/>
  <c r="L1296" i="3"/>
  <c r="A1296" i="1" l="1"/>
  <c r="E1285" i="1"/>
  <c r="B1294" i="1"/>
  <c r="F1282" i="1"/>
  <c r="M1296" i="3"/>
  <c r="L1297" i="3"/>
  <c r="M1297" i="3" l="1"/>
  <c r="L1298" i="3"/>
  <c r="A1297" i="1"/>
  <c r="B1295" i="1"/>
  <c r="E1286" i="1"/>
  <c r="F1283" i="1"/>
  <c r="L1299" i="3" l="1"/>
  <c r="M1298" i="3"/>
  <c r="A1298" i="1"/>
  <c r="B1296" i="1"/>
  <c r="E1287" i="1"/>
  <c r="F1284" i="1"/>
  <c r="A1299" i="1" l="1"/>
  <c r="E1288" i="1"/>
  <c r="F1285" i="1"/>
  <c r="B1297" i="1"/>
  <c r="M1299" i="3"/>
  <c r="L1300" i="3"/>
  <c r="L1301" i="3" l="1"/>
  <c r="M1300" i="3"/>
  <c r="B1298" i="1"/>
  <c r="A1300" i="1"/>
  <c r="E1289" i="1"/>
  <c r="F1286" i="1"/>
  <c r="A1301" i="1" l="1"/>
  <c r="B1299" i="1"/>
  <c r="E1290" i="1"/>
  <c r="F1287" i="1"/>
  <c r="M1301" i="3"/>
  <c r="L1302" i="3"/>
  <c r="A1302" i="1" l="1"/>
  <c r="E1291" i="1"/>
  <c r="B1300" i="1"/>
  <c r="F1288" i="1"/>
  <c r="L1303" i="3"/>
  <c r="M1302" i="3"/>
  <c r="A1303" i="1" l="1"/>
  <c r="E1292" i="1"/>
  <c r="F1289" i="1"/>
  <c r="M1303" i="3"/>
  <c r="L1304" i="3"/>
  <c r="B1301" i="1"/>
  <c r="A1304" i="1" l="1"/>
  <c r="E1293" i="1"/>
  <c r="B1302" i="1"/>
  <c r="F1290" i="1"/>
  <c r="L1305" i="3"/>
  <c r="M1304" i="3"/>
  <c r="M1305" i="3" l="1"/>
  <c r="L1306" i="3"/>
  <c r="B1303" i="1"/>
  <c r="A1305" i="1"/>
  <c r="E1294" i="1"/>
  <c r="F1291" i="1"/>
  <c r="M1306" i="3" l="1"/>
  <c r="L1307" i="3"/>
  <c r="B1305" i="1"/>
  <c r="A1306" i="1"/>
  <c r="B1304" i="1"/>
  <c r="E1295" i="1"/>
  <c r="F1292" i="1"/>
  <c r="M1307" i="3" l="1"/>
  <c r="L1308" i="3"/>
  <c r="A1307" i="1"/>
  <c r="E1296" i="1"/>
  <c r="F1293" i="1"/>
  <c r="M1308" i="3" l="1"/>
  <c r="L1309" i="3"/>
  <c r="B1306" i="1"/>
  <c r="A1308" i="1"/>
  <c r="E1297" i="1"/>
  <c r="F1294" i="1"/>
  <c r="M1309" i="3" l="1"/>
  <c r="L1310" i="3"/>
  <c r="B1307" i="1"/>
  <c r="A1309" i="1"/>
  <c r="E1298" i="1"/>
  <c r="F1295" i="1"/>
  <c r="A1310" i="1" l="1"/>
  <c r="E1299" i="1"/>
  <c r="F1296" i="1"/>
  <c r="M1310" i="3"/>
  <c r="L1311" i="3"/>
  <c r="B1308" i="1"/>
  <c r="L1312" i="3" l="1"/>
  <c r="M1311" i="3"/>
  <c r="A1311" i="1"/>
  <c r="E1300" i="1"/>
  <c r="F1297" i="1"/>
  <c r="B1309" i="1"/>
  <c r="A1312" i="1" l="1"/>
  <c r="E1301" i="1"/>
  <c r="B1310" i="1"/>
  <c r="F1298" i="1"/>
  <c r="M1312" i="3"/>
  <c r="L1313" i="3"/>
  <c r="A1313" i="1" l="1"/>
  <c r="B1311" i="1"/>
  <c r="E1302" i="1"/>
  <c r="F1299" i="1"/>
  <c r="L1314" i="3"/>
  <c r="M1313" i="3"/>
  <c r="A1314" i="1" l="1"/>
  <c r="B1312" i="1"/>
  <c r="E1303" i="1"/>
  <c r="F1300" i="1"/>
  <c r="M1314" i="3"/>
  <c r="L1315" i="3"/>
  <c r="L1316" i="3" l="1"/>
  <c r="M1315" i="3"/>
  <c r="B1313" i="1"/>
  <c r="A1315" i="1"/>
  <c r="E1304" i="1"/>
  <c r="F1301" i="1"/>
  <c r="B1314" i="1" l="1"/>
  <c r="A1316" i="1"/>
  <c r="E1305" i="1"/>
  <c r="F1302" i="1"/>
  <c r="M1316" i="3"/>
  <c r="L1317" i="3"/>
  <c r="A1317" i="1" l="1"/>
  <c r="B1315" i="1"/>
  <c r="E1306" i="1"/>
  <c r="F1303" i="1"/>
  <c r="L1318" i="3"/>
  <c r="M1317" i="3"/>
  <c r="A1318" i="1" l="1"/>
  <c r="E1307" i="1"/>
  <c r="F1304" i="1"/>
  <c r="B1316" i="1"/>
  <c r="M1318" i="3"/>
  <c r="L1319" i="3"/>
  <c r="L1320" i="3" l="1"/>
  <c r="M1319" i="3"/>
  <c r="A1319" i="1"/>
  <c r="E1308" i="1"/>
  <c r="B1317" i="1"/>
  <c r="F1305" i="1"/>
  <c r="A1320" i="1" l="1"/>
  <c r="E1309" i="1"/>
  <c r="B1318" i="1"/>
  <c r="F1306" i="1"/>
  <c r="M1320" i="3"/>
  <c r="L1321" i="3"/>
  <c r="B1319" i="1" l="1"/>
  <c r="A1321" i="1"/>
  <c r="E1310" i="1"/>
  <c r="F1307" i="1"/>
  <c r="M1321" i="3"/>
  <c r="L1322" i="3"/>
  <c r="M1322" i="3" l="1"/>
  <c r="L1323" i="3"/>
  <c r="A1322" i="1"/>
  <c r="B1320" i="1"/>
  <c r="E1311" i="1"/>
  <c r="F1308" i="1"/>
  <c r="M1323" i="3" l="1"/>
  <c r="L1324" i="3"/>
  <c r="A1323" i="1"/>
  <c r="E1312" i="1"/>
  <c r="B1321" i="1"/>
  <c r="F1309" i="1"/>
  <c r="B1322" i="1" l="1"/>
  <c r="A1324" i="1"/>
  <c r="E1313" i="1"/>
  <c r="F1310" i="1"/>
  <c r="L1325" i="3"/>
  <c r="M1324" i="3"/>
  <c r="M1325" i="3" l="1"/>
  <c r="L1326" i="3"/>
  <c r="A1325" i="1"/>
  <c r="B1323" i="1"/>
  <c r="E1314" i="1"/>
  <c r="F1311" i="1"/>
  <c r="L1327" i="3" l="1"/>
  <c r="M1326" i="3"/>
  <c r="B1324" i="1"/>
  <c r="A1326" i="1"/>
  <c r="E1315" i="1"/>
  <c r="F1312" i="1"/>
  <c r="A1327" i="1" l="1"/>
  <c r="E1316" i="1"/>
  <c r="F1313" i="1"/>
  <c r="B1325" i="1"/>
  <c r="M1327" i="3"/>
  <c r="L1328" i="3"/>
  <c r="A1328" i="1" l="1"/>
  <c r="E1317" i="1"/>
  <c r="B1326" i="1"/>
  <c r="F1314" i="1"/>
  <c r="M1328" i="3"/>
  <c r="L1329" i="3"/>
  <c r="A1329" i="1" l="1"/>
  <c r="B1327" i="1"/>
  <c r="E1318" i="1"/>
  <c r="F1315" i="1"/>
  <c r="M1329" i="3"/>
  <c r="L1330" i="3"/>
  <c r="A1330" i="1" l="1"/>
  <c r="B1328" i="1"/>
  <c r="E1319" i="1"/>
  <c r="F1316" i="1"/>
  <c r="L1331" i="3"/>
  <c r="M1330" i="3"/>
  <c r="B1329" i="1"/>
  <c r="A1331" i="1" l="1"/>
  <c r="E1320" i="1"/>
  <c r="F1317" i="1"/>
  <c r="M1331" i="3"/>
  <c r="L1332" i="3"/>
  <c r="L1333" i="3" l="1"/>
  <c r="M1332" i="3"/>
  <c r="B1330" i="1"/>
  <c r="A1332" i="1"/>
  <c r="E1321" i="1"/>
  <c r="F1318" i="1"/>
  <c r="A1333" i="1" l="1"/>
  <c r="B1331" i="1"/>
  <c r="E1322" i="1"/>
  <c r="F1319" i="1"/>
  <c r="M1333" i="3"/>
  <c r="L1334" i="3"/>
  <c r="A1334" i="1" l="1"/>
  <c r="B1332" i="1"/>
  <c r="E1323" i="1"/>
  <c r="F1320" i="1"/>
  <c r="L1335" i="3"/>
  <c r="M1334" i="3"/>
  <c r="B1333" i="1" s="1"/>
  <c r="M1335" i="3" l="1"/>
  <c r="L1336" i="3"/>
  <c r="A1335" i="1"/>
  <c r="E1324" i="1"/>
  <c r="F1321" i="1"/>
  <c r="A1336" i="1" l="1"/>
  <c r="E1325" i="1"/>
  <c r="B1334" i="1"/>
  <c r="F1322" i="1"/>
  <c r="L1337" i="3"/>
  <c r="M1336" i="3"/>
  <c r="B1335" i="1" l="1"/>
  <c r="A1337" i="1"/>
  <c r="E1326" i="1"/>
  <c r="F1323" i="1"/>
  <c r="M1337" i="3"/>
  <c r="L1338" i="3"/>
  <c r="M1338" i="3" l="1"/>
  <c r="L1339" i="3"/>
  <c r="A1338" i="1"/>
  <c r="B1336" i="1"/>
  <c r="E1327" i="1"/>
  <c r="F1324" i="1"/>
  <c r="M1339" i="3" l="1"/>
  <c r="L1340" i="3"/>
  <c r="B1337" i="1"/>
  <c r="A1339" i="1"/>
  <c r="E1328" i="1"/>
  <c r="F1325" i="1"/>
  <c r="M1340" i="3" l="1"/>
  <c r="L1341" i="3"/>
  <c r="B1338" i="1"/>
  <c r="A1340" i="1"/>
  <c r="E1329" i="1"/>
  <c r="F1326" i="1"/>
  <c r="M1341" i="3" l="1"/>
  <c r="B1340" i="1" s="1"/>
  <c r="L1342" i="3"/>
  <c r="A1341" i="1"/>
  <c r="B1339" i="1"/>
  <c r="E1330" i="1"/>
  <c r="F1327" i="1"/>
  <c r="M1342" i="3" l="1"/>
  <c r="L1343" i="3"/>
  <c r="A1342" i="1"/>
  <c r="E1331" i="1"/>
  <c r="F1328" i="1"/>
  <c r="L1344" i="3" l="1"/>
  <c r="M1343" i="3"/>
  <c r="A1343" i="1"/>
  <c r="E1332" i="1"/>
  <c r="F1329" i="1"/>
  <c r="B1341" i="1"/>
  <c r="A1344" i="1" l="1"/>
  <c r="E1333" i="1"/>
  <c r="B1342" i="1"/>
  <c r="F1330" i="1"/>
  <c r="M1344" i="3"/>
  <c r="L1345" i="3"/>
  <c r="M1345" i="3" l="1"/>
  <c r="L1346" i="3"/>
  <c r="B1343" i="1"/>
  <c r="A1345" i="1"/>
  <c r="E1334" i="1"/>
  <c r="F1331" i="1"/>
  <c r="B1344" i="1"/>
  <c r="M1346" i="3" l="1"/>
  <c r="L1347" i="3"/>
  <c r="A1346" i="1"/>
  <c r="E1335" i="1"/>
  <c r="F1332" i="1"/>
  <c r="L1348" i="3" l="1"/>
  <c r="M1347" i="3"/>
  <c r="B1345" i="1"/>
  <c r="A1347" i="1"/>
  <c r="E1336" i="1"/>
  <c r="F1333" i="1"/>
  <c r="B1346" i="1" l="1"/>
  <c r="A1348" i="1"/>
  <c r="E1337" i="1"/>
  <c r="F1334" i="1"/>
  <c r="M1348" i="3"/>
  <c r="L1349" i="3"/>
  <c r="A1349" i="1" l="1"/>
  <c r="B1347" i="1"/>
  <c r="E1338" i="1"/>
  <c r="F1335" i="1"/>
  <c r="L1350" i="3"/>
  <c r="M1349" i="3"/>
  <c r="M1350" i="3" l="1"/>
  <c r="L1351" i="3"/>
  <c r="A1350" i="1"/>
  <c r="B1348" i="1"/>
  <c r="E1339" i="1"/>
  <c r="F1336" i="1"/>
  <c r="B1349" i="1"/>
  <c r="L1352" i="3" l="1"/>
  <c r="M1351" i="3"/>
  <c r="A1351" i="1"/>
  <c r="E1340" i="1"/>
  <c r="F1337" i="1"/>
  <c r="A1352" i="1" l="1"/>
  <c r="E1341" i="1"/>
  <c r="B1350" i="1"/>
  <c r="F1338" i="1"/>
  <c r="M1352" i="3"/>
  <c r="L1353" i="3"/>
  <c r="B1351" i="1" l="1"/>
  <c r="A1353" i="1"/>
  <c r="E1342" i="1"/>
  <c r="F1339" i="1"/>
  <c r="L1354" i="3"/>
  <c r="M1353" i="3"/>
  <c r="M1354" i="3" l="1"/>
  <c r="L1355" i="3"/>
  <c r="B1353" i="1"/>
  <c r="A1354" i="1"/>
  <c r="B1352" i="1"/>
  <c r="E1343" i="1"/>
  <c r="F1340" i="1"/>
  <c r="L1356" i="3" l="1"/>
  <c r="M1355" i="3"/>
  <c r="A1355" i="1"/>
  <c r="E1344" i="1"/>
  <c r="F1341" i="1"/>
  <c r="M1356" i="3" l="1"/>
  <c r="L1357" i="3"/>
  <c r="B1354" i="1"/>
  <c r="A1356" i="1"/>
  <c r="E1345" i="1"/>
  <c r="F1342" i="1"/>
  <c r="L1358" i="3" l="1"/>
  <c r="M1357" i="3"/>
  <c r="B1356" i="1"/>
  <c r="B1355" i="1"/>
  <c r="A1357" i="1"/>
  <c r="E1346" i="1"/>
  <c r="F1343" i="1"/>
  <c r="A1358" i="1" l="1"/>
  <c r="E1347" i="1"/>
  <c r="F1344" i="1"/>
  <c r="M1358" i="3"/>
  <c r="L1359" i="3"/>
  <c r="A1359" i="1" l="1"/>
  <c r="E1348" i="1"/>
  <c r="F1345" i="1"/>
  <c r="B1357" i="1"/>
  <c r="L1360" i="3"/>
  <c r="M1359" i="3"/>
  <c r="A1360" i="1" l="1"/>
  <c r="E1349" i="1"/>
  <c r="B1358" i="1"/>
  <c r="F1346" i="1"/>
  <c r="M1360" i="3"/>
  <c r="L1361" i="3"/>
  <c r="A1361" i="1" l="1"/>
  <c r="B1359" i="1"/>
  <c r="E1350" i="1"/>
  <c r="F1347" i="1"/>
  <c r="L1362" i="3"/>
  <c r="M1361" i="3"/>
  <c r="B1360" i="1"/>
  <c r="M1362" i="3" l="1"/>
  <c r="L1363" i="3"/>
  <c r="A1362" i="1"/>
  <c r="E1351" i="1"/>
  <c r="F1348" i="1"/>
  <c r="L1364" i="3" l="1"/>
  <c r="M1363" i="3"/>
  <c r="B1361" i="1"/>
  <c r="A1363" i="1"/>
  <c r="E1352" i="1"/>
  <c r="F1349" i="1"/>
  <c r="B1362" i="1" l="1"/>
  <c r="A1364" i="1"/>
  <c r="E1353" i="1"/>
  <c r="F1350" i="1"/>
  <c r="M1364" i="3"/>
  <c r="L1365" i="3"/>
  <c r="L1366" i="3" l="1"/>
  <c r="M1365" i="3"/>
  <c r="A1365" i="1"/>
  <c r="B1363" i="1"/>
  <c r="E1354" i="1"/>
  <c r="F1351" i="1"/>
  <c r="A1366" i="1" l="1"/>
  <c r="B1364" i="1"/>
  <c r="E1355" i="1"/>
  <c r="F1352" i="1"/>
  <c r="M1366" i="3"/>
  <c r="L1367" i="3"/>
  <c r="A1367" i="1" l="1"/>
  <c r="E1356" i="1"/>
  <c r="F1353" i="1"/>
  <c r="B1365" i="1"/>
  <c r="L1368" i="3"/>
  <c r="M1367" i="3"/>
  <c r="A1368" i="1" l="1"/>
  <c r="E1357" i="1"/>
  <c r="B1366" i="1"/>
  <c r="F1354" i="1"/>
  <c r="M1368" i="3"/>
  <c r="L1369" i="3"/>
  <c r="B1367" i="1"/>
  <c r="M1369" i="3" l="1"/>
  <c r="L1370" i="3"/>
  <c r="A1369" i="1"/>
  <c r="E1358" i="1"/>
  <c r="F1355" i="1"/>
  <c r="M1370" i="3" l="1"/>
  <c r="L1371" i="3"/>
  <c r="B1368" i="1"/>
  <c r="A1370" i="1"/>
  <c r="E1359" i="1"/>
  <c r="F1356" i="1"/>
  <c r="M1371" i="3" l="1"/>
  <c r="L1372" i="3"/>
  <c r="B1369" i="1"/>
  <c r="A1371" i="1"/>
  <c r="E1360" i="1"/>
  <c r="F1357" i="1"/>
  <c r="L1373" i="3" l="1"/>
  <c r="M1372" i="3"/>
  <c r="B1370" i="1"/>
  <c r="A1372" i="1"/>
  <c r="E1361" i="1"/>
  <c r="F1358" i="1"/>
  <c r="A1373" i="1" l="1"/>
  <c r="B1371" i="1"/>
  <c r="E1362" i="1"/>
  <c r="F1359" i="1"/>
  <c r="M1373" i="3"/>
  <c r="B1372" i="1" s="1"/>
  <c r="L1374" i="3"/>
  <c r="A1374" i="1" l="1"/>
  <c r="E1363" i="1"/>
  <c r="F1360" i="1"/>
  <c r="L1375" i="3"/>
  <c r="M1374" i="3"/>
  <c r="B1373" i="1" s="1"/>
  <c r="M1375" i="3" l="1"/>
  <c r="L1376" i="3"/>
  <c r="A1375" i="1"/>
  <c r="E1364" i="1"/>
  <c r="F1361" i="1"/>
  <c r="L1377" i="3" l="1"/>
  <c r="M1376" i="3"/>
  <c r="A1376" i="1"/>
  <c r="E1365" i="1"/>
  <c r="B1374" i="1"/>
  <c r="F1362" i="1"/>
  <c r="A1377" i="1" l="1"/>
  <c r="B1375" i="1"/>
  <c r="E1366" i="1"/>
  <c r="F1363" i="1"/>
  <c r="M1377" i="3"/>
  <c r="L1378" i="3"/>
  <c r="A1378" i="1" l="1"/>
  <c r="E1367" i="1"/>
  <c r="F1364" i="1"/>
  <c r="L1379" i="3"/>
  <c r="M1378" i="3"/>
  <c r="B1376" i="1"/>
  <c r="M1379" i="3" l="1"/>
  <c r="L1380" i="3"/>
  <c r="B1377" i="1"/>
  <c r="A1379" i="1"/>
  <c r="E1368" i="1"/>
  <c r="F1365" i="1"/>
  <c r="L1381" i="3" l="1"/>
  <c r="M1380" i="3"/>
  <c r="B1378" i="1"/>
  <c r="A1380" i="1"/>
  <c r="E1369" i="1"/>
  <c r="F1366" i="1"/>
  <c r="A1381" i="1" l="1"/>
  <c r="B1379" i="1"/>
  <c r="E1370" i="1"/>
  <c r="F1367" i="1"/>
  <c r="M1381" i="3"/>
  <c r="L1382" i="3"/>
  <c r="L1383" i="3" l="1"/>
  <c r="M1382" i="3"/>
  <c r="A1382" i="1"/>
  <c r="B1380" i="1"/>
  <c r="E1371" i="1"/>
  <c r="F1368" i="1"/>
  <c r="B1381" i="1"/>
  <c r="A1383" i="1" l="1"/>
  <c r="E1372" i="1"/>
  <c r="F1369" i="1"/>
  <c r="M1383" i="3"/>
  <c r="L1384" i="3"/>
  <c r="L1385" i="3" l="1"/>
  <c r="M1384" i="3"/>
  <c r="A1384" i="1"/>
  <c r="E1373" i="1"/>
  <c r="B1382" i="1"/>
  <c r="F1370" i="1"/>
  <c r="B1383" i="1"/>
  <c r="A1385" i="1" l="1"/>
  <c r="E1374" i="1"/>
  <c r="F1371" i="1"/>
  <c r="M1385" i="3"/>
  <c r="L1386" i="3"/>
  <c r="B1384" i="1" l="1"/>
  <c r="A1386" i="1"/>
  <c r="E1375" i="1"/>
  <c r="F1372" i="1"/>
  <c r="M1386" i="3"/>
  <c r="L1387" i="3"/>
  <c r="B1385" i="1" l="1"/>
  <c r="A1387" i="1"/>
  <c r="E1376" i="1"/>
  <c r="F1373" i="1"/>
  <c r="M1387" i="3"/>
  <c r="L1388" i="3"/>
  <c r="B1386" i="1" l="1"/>
  <c r="A1388" i="1"/>
  <c r="E1377" i="1"/>
  <c r="F1374" i="1"/>
  <c r="M1388" i="3"/>
  <c r="L1389" i="3"/>
  <c r="A1389" i="1" l="1"/>
  <c r="B1387" i="1"/>
  <c r="E1378" i="1"/>
  <c r="F1375" i="1"/>
  <c r="L1390" i="3"/>
  <c r="M1389" i="3"/>
  <c r="A1390" i="1" l="1"/>
  <c r="E1379" i="1"/>
  <c r="F1376" i="1"/>
  <c r="M1390" i="3"/>
  <c r="B1389" i="1" s="1"/>
  <c r="L1391" i="3"/>
  <c r="B1388" i="1"/>
  <c r="A1391" i="1" l="1"/>
  <c r="E1380" i="1"/>
  <c r="F1377" i="1"/>
  <c r="L1392" i="3"/>
  <c r="M1391" i="3"/>
  <c r="M1392" i="3" l="1"/>
  <c r="L1393" i="3"/>
  <c r="A1392" i="1"/>
  <c r="E1381" i="1"/>
  <c r="B1390" i="1"/>
  <c r="F1378" i="1"/>
  <c r="M1393" i="3" l="1"/>
  <c r="B1392" i="1" s="1"/>
  <c r="L1394" i="3"/>
  <c r="A1393" i="1"/>
  <c r="B1391" i="1"/>
  <c r="E1382" i="1"/>
  <c r="F1379" i="1"/>
  <c r="M1394" i="3" l="1"/>
  <c r="L1395" i="3"/>
  <c r="A1394" i="1"/>
  <c r="E1383" i="1"/>
  <c r="F1380" i="1"/>
  <c r="L1396" i="3" l="1"/>
  <c r="M1395" i="3"/>
  <c r="B1393" i="1"/>
  <c r="A1395" i="1"/>
  <c r="E1384" i="1"/>
  <c r="F1381" i="1"/>
  <c r="B1394" i="1" l="1"/>
  <c r="A1396" i="1"/>
  <c r="E1385" i="1"/>
  <c r="F1382" i="1"/>
  <c r="M1396" i="3"/>
  <c r="L1397" i="3"/>
  <c r="A1397" i="1" l="1"/>
  <c r="B1395" i="1"/>
  <c r="E1386" i="1"/>
  <c r="F1383" i="1"/>
  <c r="L1398" i="3"/>
  <c r="M1397" i="3"/>
  <c r="A1398" i="1" l="1"/>
  <c r="B1396" i="1"/>
  <c r="E1387" i="1"/>
  <c r="F1384" i="1"/>
  <c r="M1398" i="3"/>
  <c r="L1399" i="3"/>
  <c r="A1399" i="1" l="1"/>
  <c r="E1388" i="1"/>
  <c r="F1385" i="1"/>
  <c r="B1397" i="1"/>
  <c r="L1400" i="3"/>
  <c r="M1399" i="3"/>
  <c r="A1400" i="1" l="1"/>
  <c r="E1389" i="1"/>
  <c r="B1398" i="1"/>
  <c r="F1386" i="1"/>
  <c r="M1400" i="3"/>
  <c r="L1401" i="3"/>
  <c r="B1399" i="1"/>
  <c r="L1402" i="3" l="1"/>
  <c r="M1401" i="3"/>
  <c r="A1401" i="1"/>
  <c r="E1390" i="1"/>
  <c r="F1387" i="1"/>
  <c r="M1402" i="3" l="1"/>
  <c r="L1403" i="3"/>
  <c r="B1400" i="1"/>
  <c r="A1402" i="1"/>
  <c r="E1391" i="1"/>
  <c r="F1388" i="1"/>
  <c r="L1404" i="3" l="1"/>
  <c r="M1403" i="3"/>
  <c r="B1401" i="1"/>
  <c r="A1403" i="1"/>
  <c r="E1392" i="1"/>
  <c r="F1389" i="1"/>
  <c r="B1402" i="1" l="1"/>
  <c r="A1404" i="1"/>
  <c r="E1393" i="1"/>
  <c r="F1390" i="1"/>
  <c r="M1404" i="3"/>
  <c r="L1405" i="3"/>
  <c r="A1405" i="1" l="1"/>
  <c r="B1403" i="1"/>
  <c r="E1394" i="1"/>
  <c r="F1391" i="1"/>
  <c r="M1405" i="3"/>
  <c r="L1406" i="3"/>
  <c r="B1404" i="1"/>
  <c r="A1406" i="1" l="1"/>
  <c r="E1395" i="1"/>
  <c r="F1392" i="1"/>
  <c r="M1406" i="3"/>
  <c r="B1405" i="1" s="1"/>
  <c r="L1407" i="3"/>
  <c r="L1408" i="3" l="1"/>
  <c r="M1407" i="3"/>
  <c r="A1407" i="1"/>
  <c r="E1396" i="1"/>
  <c r="F1393" i="1"/>
  <c r="A1408" i="1" l="1"/>
  <c r="E1397" i="1"/>
  <c r="B1406" i="1"/>
  <c r="F1394" i="1"/>
  <c r="M1408" i="3"/>
  <c r="L1409" i="3"/>
  <c r="M1409" i="3" l="1"/>
  <c r="L1410" i="3"/>
  <c r="A1409" i="1"/>
  <c r="B1407" i="1"/>
  <c r="E1398" i="1"/>
  <c r="F1395" i="1"/>
  <c r="B1408" i="1"/>
  <c r="M1410" i="3" l="1"/>
  <c r="L1411" i="3"/>
  <c r="A1410" i="1"/>
  <c r="E1399" i="1"/>
  <c r="F1396" i="1"/>
  <c r="B1409" i="1" l="1"/>
  <c r="A1411" i="1"/>
  <c r="E1400" i="1"/>
  <c r="F1397" i="1"/>
  <c r="M1411" i="3"/>
  <c r="L1412" i="3"/>
  <c r="B1410" i="1" l="1"/>
  <c r="A1412" i="1"/>
  <c r="E1401" i="1"/>
  <c r="F1398" i="1"/>
  <c r="L1413" i="3"/>
  <c r="M1412" i="3"/>
  <c r="A1413" i="1" l="1"/>
  <c r="B1411" i="1"/>
  <c r="E1402" i="1"/>
  <c r="F1399" i="1"/>
  <c r="M1413" i="3"/>
  <c r="L1414" i="3"/>
  <c r="L1415" i="3" l="1"/>
  <c r="M1414" i="3"/>
  <c r="B1412" i="1"/>
  <c r="A1414" i="1"/>
  <c r="E1403" i="1"/>
  <c r="F1400" i="1"/>
  <c r="B1413" i="1"/>
  <c r="A1415" i="1" l="1"/>
  <c r="E1404" i="1"/>
  <c r="F1401" i="1"/>
  <c r="L1416" i="3"/>
  <c r="M1415" i="3"/>
  <c r="A1416" i="1" l="1"/>
  <c r="E1405" i="1"/>
  <c r="B1414" i="1"/>
  <c r="F1402" i="1"/>
  <c r="M1416" i="3"/>
  <c r="L1417" i="3"/>
  <c r="B1415" i="1"/>
  <c r="A1417" i="1" l="1"/>
  <c r="E1406" i="1"/>
  <c r="F1403" i="1"/>
  <c r="M1417" i="3"/>
  <c r="L1418" i="3"/>
  <c r="A1418" i="1" l="1"/>
  <c r="B1416" i="1"/>
  <c r="E1407" i="1"/>
  <c r="F1404" i="1"/>
  <c r="L1419" i="3"/>
  <c r="M1418" i="3"/>
  <c r="B1417" i="1" s="1"/>
  <c r="A1419" i="1" l="1"/>
  <c r="E1408" i="1"/>
  <c r="F1405" i="1"/>
  <c r="M1419" i="3"/>
  <c r="L1420" i="3"/>
  <c r="B1418" i="1" l="1"/>
  <c r="A1420" i="1"/>
  <c r="E1409" i="1"/>
  <c r="F1406" i="1"/>
  <c r="L1421" i="3"/>
  <c r="M1420" i="3"/>
  <c r="M1421" i="3" l="1"/>
  <c r="L1422" i="3"/>
  <c r="B1420" i="1"/>
  <c r="A1421" i="1"/>
  <c r="B1419" i="1"/>
  <c r="E1410" i="1"/>
  <c r="F1407" i="1"/>
  <c r="L1423" i="3" l="1"/>
  <c r="M1422" i="3"/>
  <c r="B1421" i="1" s="1"/>
  <c r="A1422" i="1"/>
  <c r="E1411" i="1"/>
  <c r="F1408" i="1"/>
  <c r="A1423" i="1" l="1"/>
  <c r="E1412" i="1"/>
  <c r="F1409" i="1"/>
  <c r="M1423" i="3"/>
  <c r="L1424" i="3"/>
  <c r="L1425" i="3" l="1"/>
  <c r="M1424" i="3"/>
  <c r="A1424" i="1"/>
  <c r="E1413" i="1"/>
  <c r="B1422" i="1"/>
  <c r="F1410" i="1"/>
  <c r="A1425" i="1" l="1"/>
  <c r="B1423" i="1"/>
  <c r="E1414" i="1"/>
  <c r="F1411" i="1"/>
  <c r="M1425" i="3"/>
  <c r="B1424" i="1" s="1"/>
  <c r="L1426" i="3"/>
  <c r="A1426" i="1" l="1"/>
  <c r="E1415" i="1"/>
  <c r="F1412" i="1"/>
  <c r="L1427" i="3"/>
  <c r="M1426" i="3"/>
  <c r="M1427" i="3" l="1"/>
  <c r="L1428" i="3"/>
  <c r="B1425" i="1"/>
  <c r="A1427" i="1"/>
  <c r="E1416" i="1"/>
  <c r="F1413" i="1"/>
  <c r="M1428" i="3" l="1"/>
  <c r="L1429" i="3"/>
  <c r="B1426" i="1"/>
  <c r="A1428" i="1"/>
  <c r="E1417" i="1"/>
  <c r="F1414" i="1"/>
  <c r="A1429" i="1" l="1"/>
  <c r="B1427" i="1"/>
  <c r="E1418" i="1"/>
  <c r="F1415" i="1"/>
  <c r="M1429" i="3"/>
  <c r="L1430" i="3"/>
  <c r="A1430" i="1" l="1"/>
  <c r="B1428" i="1"/>
  <c r="E1419" i="1"/>
  <c r="F1416" i="1"/>
  <c r="M1430" i="3"/>
  <c r="L1431" i="3"/>
  <c r="B1429" i="1"/>
  <c r="L1432" i="3" l="1"/>
  <c r="M1431" i="3"/>
  <c r="A1431" i="1"/>
  <c r="E1420" i="1"/>
  <c r="F1417" i="1"/>
  <c r="A1432" i="1" l="1"/>
  <c r="E1421" i="1"/>
  <c r="B1430" i="1"/>
  <c r="F1418" i="1"/>
  <c r="M1432" i="3"/>
  <c r="L1433" i="3"/>
  <c r="B1431" i="1"/>
  <c r="L1434" i="3" l="1"/>
  <c r="M1433" i="3"/>
  <c r="A1433" i="1"/>
  <c r="E1422" i="1"/>
  <c r="F1419" i="1"/>
  <c r="M1434" i="3" l="1"/>
  <c r="L1435" i="3"/>
  <c r="B1432" i="1"/>
  <c r="A1434" i="1"/>
  <c r="E1423" i="1"/>
  <c r="F1420" i="1"/>
  <c r="L1436" i="3" l="1"/>
  <c r="M1435" i="3"/>
  <c r="A1435" i="1"/>
  <c r="E1424" i="1"/>
  <c r="F1421" i="1"/>
  <c r="B1433" i="1"/>
  <c r="B1434" i="1" l="1"/>
  <c r="A1436" i="1"/>
  <c r="E1425" i="1"/>
  <c r="F1422" i="1"/>
  <c r="M1436" i="3"/>
  <c r="L1437" i="3"/>
  <c r="A1437" i="1" l="1"/>
  <c r="B1435" i="1"/>
  <c r="E1426" i="1"/>
  <c r="F1423" i="1"/>
  <c r="M1437" i="3"/>
  <c r="B1436" i="1" s="1"/>
  <c r="L1438" i="3"/>
  <c r="A1438" i="1" l="1"/>
  <c r="E1427" i="1"/>
  <c r="F1424" i="1"/>
  <c r="M1438" i="3"/>
  <c r="L1439" i="3"/>
  <c r="A1439" i="1" l="1"/>
  <c r="E1428" i="1"/>
  <c r="F1425" i="1"/>
  <c r="L1440" i="3"/>
  <c r="M1439" i="3"/>
  <c r="B1437" i="1"/>
  <c r="M1440" i="3" l="1"/>
  <c r="L1441" i="3"/>
  <c r="A1440" i="1"/>
  <c r="E1429" i="1"/>
  <c r="B1438" i="1"/>
  <c r="F1426" i="1"/>
  <c r="M1441" i="3" l="1"/>
  <c r="L1442" i="3"/>
  <c r="B1440" i="1"/>
  <c r="A1441" i="1"/>
  <c r="B1439" i="1"/>
  <c r="E1430" i="1"/>
  <c r="F1427" i="1"/>
  <c r="M1442" i="3" l="1"/>
  <c r="L1443" i="3"/>
  <c r="A1442" i="1"/>
  <c r="E1431" i="1"/>
  <c r="F1428" i="1"/>
  <c r="B1441" i="1" l="1"/>
  <c r="A1443" i="1"/>
  <c r="E1432" i="1"/>
  <c r="F1429" i="1"/>
  <c r="M1443" i="3"/>
  <c r="L1444" i="3"/>
  <c r="B1442" i="1" l="1"/>
  <c r="A1444" i="1"/>
  <c r="E1433" i="1"/>
  <c r="F1430" i="1"/>
  <c r="L1445" i="3"/>
  <c r="M1444" i="3"/>
  <c r="M1445" i="3" l="1"/>
  <c r="L1446" i="3"/>
  <c r="A1445" i="1"/>
  <c r="B1443" i="1"/>
  <c r="E1434" i="1"/>
  <c r="F1431" i="1"/>
  <c r="L1447" i="3" l="1"/>
  <c r="M1446" i="3"/>
  <c r="B1445" i="1" s="1"/>
  <c r="A1446" i="1"/>
  <c r="B1444" i="1"/>
  <c r="E1435" i="1"/>
  <c r="F1432" i="1"/>
  <c r="M1447" i="3" l="1"/>
  <c r="L1448" i="3"/>
  <c r="A1447" i="1"/>
  <c r="E1436" i="1"/>
  <c r="F1433" i="1"/>
  <c r="L1449" i="3" l="1"/>
  <c r="M1448" i="3"/>
  <c r="B1447" i="1" s="1"/>
  <c r="A1448" i="1"/>
  <c r="E1437" i="1"/>
  <c r="B1446" i="1"/>
  <c r="F1434" i="1"/>
  <c r="A1449" i="1" l="1"/>
  <c r="E1438" i="1"/>
  <c r="F1435" i="1"/>
  <c r="M1449" i="3"/>
  <c r="L1450" i="3"/>
  <c r="A1450" i="1" l="1"/>
  <c r="B1448" i="1"/>
  <c r="E1439" i="1"/>
  <c r="F1436" i="1"/>
  <c r="M1450" i="3"/>
  <c r="L1451" i="3"/>
  <c r="B1449" i="1"/>
  <c r="A1451" i="1" l="1"/>
  <c r="E1440" i="1"/>
  <c r="F1437" i="1"/>
  <c r="M1451" i="3"/>
  <c r="L1452" i="3"/>
  <c r="M1452" i="3" l="1"/>
  <c r="L1453" i="3"/>
  <c r="B1450" i="1"/>
  <c r="A1452" i="1"/>
  <c r="E1441" i="1"/>
  <c r="F1438" i="1"/>
  <c r="L1454" i="3" l="1"/>
  <c r="M1453" i="3"/>
  <c r="B1451" i="1"/>
  <c r="A1453" i="1"/>
  <c r="E1442" i="1"/>
  <c r="F1439" i="1"/>
  <c r="M1454" i="3" l="1"/>
  <c r="B1453" i="1" s="1"/>
  <c r="L1455" i="3"/>
  <c r="A1454" i="1"/>
  <c r="E1443" i="1"/>
  <c r="F1440" i="1"/>
  <c r="B1452" i="1"/>
  <c r="A1455" i="1" l="1"/>
  <c r="E1444" i="1"/>
  <c r="F1441" i="1"/>
  <c r="L1456" i="3"/>
  <c r="M1455" i="3"/>
  <c r="A1456" i="1" l="1"/>
  <c r="E1445" i="1"/>
  <c r="B1454" i="1"/>
  <c r="F1442" i="1"/>
  <c r="M1456" i="3"/>
  <c r="L1457" i="3"/>
  <c r="A1457" i="1" l="1"/>
  <c r="B1455" i="1"/>
  <c r="E1446" i="1"/>
  <c r="F1443" i="1"/>
  <c r="M1457" i="3"/>
  <c r="L1458" i="3"/>
  <c r="B1456" i="1"/>
  <c r="M1458" i="3" l="1"/>
  <c r="L1459" i="3"/>
  <c r="A1458" i="1"/>
  <c r="E1447" i="1"/>
  <c r="F1444" i="1"/>
  <c r="B1457" i="1" l="1"/>
  <c r="A1459" i="1"/>
  <c r="E1448" i="1"/>
  <c r="F1445" i="1"/>
  <c r="L1460" i="3"/>
  <c r="M1459" i="3"/>
  <c r="M1460" i="3" l="1"/>
  <c r="L1461" i="3"/>
  <c r="B1458" i="1"/>
  <c r="A1460" i="1"/>
  <c r="E1449" i="1"/>
  <c r="F1446" i="1"/>
  <c r="L1462" i="3" l="1"/>
  <c r="M1461" i="3"/>
  <c r="A1461" i="1"/>
  <c r="B1459" i="1"/>
  <c r="E1450" i="1"/>
  <c r="F1447" i="1"/>
  <c r="A1462" i="1" l="1"/>
  <c r="B1460" i="1"/>
  <c r="E1451" i="1"/>
  <c r="F1448" i="1"/>
  <c r="M1462" i="3"/>
  <c r="L1463" i="3"/>
  <c r="B1461" i="1"/>
  <c r="L1464" i="3" l="1"/>
  <c r="M1463" i="3"/>
  <c r="A1463" i="1"/>
  <c r="E1452" i="1"/>
  <c r="F1449" i="1"/>
  <c r="A1464" i="1" l="1"/>
  <c r="E1453" i="1"/>
  <c r="B1462" i="1"/>
  <c r="F1450" i="1"/>
  <c r="M1464" i="3"/>
  <c r="L1465" i="3"/>
  <c r="A1465" i="1" l="1"/>
  <c r="E1454" i="1"/>
  <c r="F1451" i="1"/>
  <c r="M1465" i="3"/>
  <c r="L1466" i="3"/>
  <c r="B1463" i="1"/>
  <c r="M1466" i="3" l="1"/>
  <c r="L1467" i="3"/>
  <c r="A1466" i="1"/>
  <c r="B1464" i="1"/>
  <c r="E1455" i="1"/>
  <c r="F1452" i="1"/>
  <c r="B1465" i="1"/>
  <c r="M1467" i="3" l="1"/>
  <c r="L1468" i="3"/>
  <c r="A1467" i="1"/>
  <c r="E1456" i="1"/>
  <c r="F1453" i="1"/>
  <c r="B1466" i="1" l="1"/>
  <c r="A1468" i="1"/>
  <c r="E1457" i="1"/>
  <c r="F1454" i="1"/>
  <c r="L1469" i="3"/>
  <c r="M1468" i="3"/>
  <c r="M1469" i="3" l="1"/>
  <c r="L1470" i="3"/>
  <c r="A1469" i="1"/>
  <c r="B1467" i="1"/>
  <c r="E1458" i="1"/>
  <c r="F1455" i="1"/>
  <c r="B1468" i="1"/>
  <c r="L1471" i="3" l="1"/>
  <c r="M1470" i="3"/>
  <c r="B1469" i="1" s="1"/>
  <c r="A1470" i="1"/>
  <c r="E1459" i="1"/>
  <c r="F1456" i="1"/>
  <c r="M1471" i="3" l="1"/>
  <c r="L1472" i="3"/>
  <c r="A1471" i="1"/>
  <c r="E1460" i="1"/>
  <c r="F1457" i="1"/>
  <c r="L1473" i="3" l="1"/>
  <c r="M1472" i="3"/>
  <c r="A1472" i="1"/>
  <c r="E1461" i="1"/>
  <c r="B1470" i="1"/>
  <c r="F1458" i="1"/>
  <c r="B1471" i="1" l="1"/>
  <c r="A1473" i="1"/>
  <c r="E1462" i="1"/>
  <c r="F1459" i="1"/>
  <c r="M1473" i="3"/>
  <c r="L1474" i="3"/>
  <c r="L1475" i="3" l="1"/>
  <c r="M1474" i="3"/>
  <c r="A1474" i="1"/>
  <c r="E1463" i="1"/>
  <c r="F1460" i="1"/>
  <c r="B1472" i="1"/>
  <c r="B1473" i="1" l="1"/>
  <c r="A1475" i="1"/>
  <c r="E1464" i="1"/>
  <c r="F1461" i="1"/>
  <c r="M1475" i="3"/>
  <c r="L1476" i="3"/>
  <c r="L1477" i="3" l="1"/>
  <c r="M1476" i="3"/>
  <c r="B1474" i="1"/>
  <c r="A1476" i="1"/>
  <c r="E1465" i="1"/>
  <c r="F1462" i="1"/>
  <c r="B1475" i="1" l="1"/>
  <c r="A1477" i="1"/>
  <c r="E1466" i="1"/>
  <c r="F1463" i="1"/>
  <c r="M1477" i="3"/>
  <c r="L1478" i="3"/>
  <c r="M1478" i="3" l="1"/>
  <c r="L1479" i="3"/>
  <c r="A1478" i="1"/>
  <c r="B1476" i="1"/>
  <c r="E1467" i="1"/>
  <c r="F1464" i="1"/>
  <c r="B1477" i="1"/>
  <c r="M1479" i="3" l="1"/>
  <c r="L1480" i="3"/>
  <c r="A1479" i="1"/>
  <c r="E1468" i="1"/>
  <c r="F1465" i="1"/>
  <c r="M1480" i="3" l="1"/>
  <c r="L1481" i="3"/>
  <c r="A1480" i="1"/>
  <c r="E1469" i="1"/>
  <c r="B1478" i="1"/>
  <c r="F1466" i="1"/>
  <c r="M1481" i="3" l="1"/>
  <c r="L1482" i="3"/>
  <c r="A1481" i="1"/>
  <c r="E1470" i="1"/>
  <c r="F1467" i="1"/>
  <c r="B1479" i="1"/>
  <c r="M1482" i="3" l="1"/>
  <c r="L1483" i="3"/>
  <c r="A1482" i="1"/>
  <c r="B1480" i="1"/>
  <c r="E1471" i="1"/>
  <c r="F1468" i="1"/>
  <c r="L1484" i="3" l="1"/>
  <c r="M1483" i="3"/>
  <c r="A1483" i="1"/>
  <c r="E1472" i="1"/>
  <c r="F1469" i="1"/>
  <c r="B1481" i="1"/>
  <c r="B1482" i="1" l="1"/>
  <c r="A1484" i="1"/>
  <c r="E1473" i="1"/>
  <c r="F1470" i="1"/>
  <c r="M1484" i="3"/>
  <c r="L1485" i="3"/>
  <c r="A1485" i="1" l="1"/>
  <c r="B1483" i="1"/>
  <c r="E1474" i="1"/>
  <c r="F1471" i="1"/>
  <c r="L1486" i="3"/>
  <c r="M1485" i="3"/>
  <c r="B1484" i="1" s="1"/>
  <c r="M1486" i="3" l="1"/>
  <c r="L1487" i="3"/>
  <c r="A1486" i="1"/>
  <c r="E1475" i="1"/>
  <c r="F1472" i="1"/>
  <c r="B1485" i="1"/>
  <c r="L1488" i="3" l="1"/>
  <c r="M1487" i="3"/>
  <c r="A1487" i="1"/>
  <c r="E1476" i="1"/>
  <c r="F1473" i="1"/>
  <c r="M1488" i="3" l="1"/>
  <c r="L1489" i="3"/>
  <c r="A1488" i="1"/>
  <c r="E1477" i="1"/>
  <c r="B1486" i="1"/>
  <c r="F1474" i="1"/>
  <c r="L1490" i="3" l="1"/>
  <c r="M1489" i="3"/>
  <c r="A1489" i="1"/>
  <c r="B1487" i="1"/>
  <c r="E1478" i="1"/>
  <c r="F1475" i="1"/>
  <c r="A1490" i="1" l="1"/>
  <c r="E1479" i="1"/>
  <c r="F1476" i="1"/>
  <c r="M1490" i="3"/>
  <c r="L1491" i="3"/>
  <c r="B1488" i="1"/>
  <c r="B1489" i="1" l="1"/>
  <c r="A1491" i="1"/>
  <c r="E1480" i="1"/>
  <c r="F1477" i="1"/>
  <c r="M1491" i="3"/>
  <c r="L1492" i="3"/>
  <c r="B1490" i="1" l="1"/>
  <c r="A1492" i="1"/>
  <c r="E1481" i="1"/>
  <c r="F1478" i="1"/>
  <c r="M1492" i="3"/>
  <c r="L1493" i="3"/>
  <c r="A1493" i="1" l="1"/>
  <c r="B1491" i="1"/>
  <c r="E1482" i="1"/>
  <c r="F1479" i="1"/>
  <c r="M1493" i="3"/>
  <c r="L1494" i="3"/>
  <c r="L1495" i="3" l="1"/>
  <c r="M1494" i="3"/>
  <c r="A1494" i="1"/>
  <c r="B1492" i="1"/>
  <c r="E1483" i="1"/>
  <c r="F1480" i="1"/>
  <c r="B1493" i="1"/>
  <c r="A1495" i="1" l="1"/>
  <c r="E1484" i="1"/>
  <c r="F1481" i="1"/>
  <c r="M1495" i="3"/>
  <c r="L1496" i="3"/>
  <c r="M1496" i="3" l="1"/>
  <c r="L1497" i="3"/>
  <c r="A1496" i="1"/>
  <c r="E1485" i="1"/>
  <c r="B1494" i="1"/>
  <c r="F1482" i="1"/>
  <c r="B1495" i="1"/>
  <c r="M1497" i="3" l="1"/>
  <c r="L1498" i="3"/>
  <c r="A1497" i="1"/>
  <c r="E1486" i="1"/>
  <c r="F1483" i="1"/>
  <c r="L1499" i="3" l="1"/>
  <c r="M1498" i="3"/>
  <c r="A1498" i="1"/>
  <c r="B1496" i="1"/>
  <c r="E1487" i="1"/>
  <c r="F1484" i="1"/>
  <c r="A1499" i="1" l="1"/>
  <c r="E1488" i="1"/>
  <c r="F1485" i="1"/>
  <c r="M1499" i="3"/>
  <c r="L1500" i="3"/>
  <c r="B1497" i="1"/>
  <c r="M1500" i="3" l="1"/>
  <c r="L1501" i="3"/>
  <c r="A1500" i="1"/>
  <c r="E1489" i="1"/>
  <c r="B1498" i="1"/>
  <c r="F1486" i="1"/>
  <c r="B1499" i="1" l="1"/>
  <c r="E1490" i="1"/>
  <c r="F1487" i="1"/>
  <c r="M1501" i="3"/>
  <c r="L1502" i="3"/>
  <c r="E1491" i="1" l="1"/>
  <c r="F1488" i="1"/>
  <c r="M1502" i="3"/>
  <c r="L1503" i="3"/>
  <c r="B1500" i="1"/>
  <c r="M1503" i="3" l="1"/>
  <c r="L1504" i="3"/>
  <c r="E1492" i="1"/>
  <c r="F1489" i="1"/>
  <c r="L1505" i="3" l="1"/>
  <c r="M1504" i="3"/>
  <c r="E1493" i="1"/>
  <c r="F1490" i="1"/>
  <c r="E1494" i="1" l="1"/>
  <c r="F1491" i="1"/>
  <c r="M1505" i="3"/>
  <c r="L1506" i="3"/>
  <c r="M1506" i="3" l="1"/>
  <c r="L1507" i="3"/>
  <c r="E1495" i="1"/>
  <c r="F1492" i="1"/>
  <c r="M1507" i="3" l="1"/>
  <c r="L1508" i="3"/>
  <c r="E1496" i="1"/>
  <c r="F1493" i="1"/>
  <c r="M1508" i="3" l="1"/>
  <c r="L1509" i="3"/>
  <c r="E1497" i="1"/>
  <c r="F1494" i="1"/>
  <c r="L1510" i="3" l="1"/>
  <c r="M1509" i="3"/>
  <c r="E1498" i="1"/>
  <c r="F1495" i="1"/>
  <c r="E1499" i="1" l="1"/>
  <c r="F1496" i="1"/>
  <c r="M1510" i="3"/>
  <c r="L1511" i="3"/>
  <c r="L1512" i="3" l="1"/>
  <c r="M1511" i="3"/>
  <c r="F1498" i="1" s="1"/>
  <c r="E1500" i="1"/>
  <c r="F1497" i="1"/>
  <c r="M1512" i="3" l="1"/>
  <c r="F1499" i="1" s="1"/>
  <c r="L1513" i="3"/>
  <c r="M1513" i="3" l="1"/>
  <c r="F1500" i="1" s="1"/>
  <c r="V5" i="3" s="1"/>
  <c r="V4" i="3" s="1"/>
  <c r="H3" i="1" s="1"/>
  <c r="L1514" i="3"/>
  <c r="L1515" i="3" l="1"/>
  <c r="M1514" i="3"/>
  <c r="D3" i="1"/>
  <c r="G3" i="1" s="1"/>
  <c r="I3" i="1"/>
  <c r="H4" i="1"/>
  <c r="J3" i="1"/>
  <c r="D4" i="1" l="1"/>
  <c r="G4" i="1" s="1"/>
  <c r="H5" i="1"/>
  <c r="I4" i="1"/>
  <c r="J4" i="1"/>
  <c r="M1515" i="3"/>
  <c r="L1516" i="3"/>
  <c r="L1517" i="3" l="1"/>
  <c r="M1516" i="3"/>
  <c r="I5" i="1"/>
  <c r="H6" i="1"/>
  <c r="D5" i="1"/>
  <c r="G5" i="1" s="1"/>
  <c r="J5" i="1"/>
  <c r="H7" i="1" l="1"/>
  <c r="J6" i="1"/>
  <c r="I6" i="1"/>
  <c r="D6" i="1"/>
  <c r="G6" i="1" s="1"/>
  <c r="M1517" i="3"/>
  <c r="L1518" i="3"/>
  <c r="M1518" i="3" l="1"/>
  <c r="L1519" i="3"/>
  <c r="J7" i="1"/>
  <c r="H8" i="1"/>
  <c r="D7" i="1"/>
  <c r="G7" i="1" s="1"/>
  <c r="I7" i="1"/>
  <c r="D8" i="1" l="1"/>
  <c r="G8" i="1" s="1"/>
  <c r="J8" i="1"/>
  <c r="H9" i="1"/>
  <c r="I8" i="1"/>
  <c r="M1519" i="3"/>
  <c r="L1520" i="3"/>
  <c r="L1521" i="3" l="1"/>
  <c r="M1520" i="3"/>
  <c r="J9" i="1"/>
  <c r="H10" i="1"/>
  <c r="D9" i="1"/>
  <c r="G9" i="1" s="1"/>
  <c r="I9" i="1"/>
  <c r="H11" i="1" l="1"/>
  <c r="J10" i="1"/>
  <c r="D10" i="1"/>
  <c r="G10" i="1" s="1"/>
  <c r="I10" i="1"/>
  <c r="M1521" i="3"/>
  <c r="L1522" i="3"/>
  <c r="L1523" i="3" l="1"/>
  <c r="M1522" i="3"/>
  <c r="H12" i="1"/>
  <c r="D11" i="1"/>
  <c r="G11" i="1" s="1"/>
  <c r="J11" i="1"/>
  <c r="I11" i="1"/>
  <c r="D12" i="1" l="1"/>
  <c r="G12" i="1" s="1"/>
  <c r="I12" i="1"/>
  <c r="J12" i="1"/>
  <c r="H13" i="1"/>
  <c r="M1523" i="3"/>
  <c r="L1524" i="3"/>
  <c r="M1524" i="3" l="1"/>
  <c r="L1525" i="3"/>
  <c r="D13" i="1"/>
  <c r="G13" i="1" s="1"/>
  <c r="J13" i="1"/>
  <c r="H14" i="1"/>
  <c r="I13" i="1"/>
  <c r="H15" i="1" l="1"/>
  <c r="J14" i="1"/>
  <c r="I14" i="1"/>
  <c r="D14" i="1"/>
  <c r="G14" i="1" s="1"/>
  <c r="M1525" i="3"/>
  <c r="L1526" i="3"/>
  <c r="L1527" i="3" l="1"/>
  <c r="M1526" i="3"/>
  <c r="D15" i="1"/>
  <c r="G15" i="1" s="1"/>
  <c r="J15" i="1"/>
  <c r="I15" i="1"/>
  <c r="H16" i="1"/>
  <c r="J16" i="1" l="1"/>
  <c r="H17" i="1"/>
  <c r="I16" i="1"/>
  <c r="D16" i="1"/>
  <c r="G16" i="1" s="1"/>
  <c r="L1528" i="3"/>
  <c r="M1527" i="3"/>
  <c r="L1529" i="3" l="1"/>
  <c r="M1528" i="3"/>
  <c r="I17" i="1"/>
  <c r="J17" i="1"/>
  <c r="H18" i="1"/>
  <c r="D17" i="1"/>
  <c r="G17" i="1" s="1"/>
  <c r="H19" i="1" l="1"/>
  <c r="D18" i="1"/>
  <c r="G18" i="1" s="1"/>
  <c r="I18" i="1"/>
  <c r="J18" i="1"/>
  <c r="M1529" i="3"/>
  <c r="L1530" i="3"/>
  <c r="M1530" i="3" l="1"/>
  <c r="L1531" i="3"/>
  <c r="D19" i="1"/>
  <c r="G19" i="1" s="1"/>
  <c r="J19" i="1"/>
  <c r="H20" i="1"/>
  <c r="I19" i="1"/>
  <c r="I20" i="1" l="1"/>
  <c r="J20" i="1"/>
  <c r="D20" i="1"/>
  <c r="G20" i="1" s="1"/>
  <c r="H21" i="1"/>
  <c r="M1531" i="3"/>
  <c r="L1532" i="3"/>
  <c r="L1533" i="3" l="1"/>
  <c r="M1532" i="3"/>
  <c r="H22" i="1"/>
  <c r="I21" i="1"/>
  <c r="D21" i="1"/>
  <c r="G21" i="1" s="1"/>
  <c r="J21" i="1"/>
  <c r="I22" i="1" l="1"/>
  <c r="D22" i="1"/>
  <c r="G22" i="1" s="1"/>
  <c r="H23" i="1"/>
  <c r="J22" i="1"/>
  <c r="M1533" i="3"/>
  <c r="L1534" i="3"/>
  <c r="L1535" i="3" l="1"/>
  <c r="M1534" i="3"/>
  <c r="I23" i="1"/>
  <c r="H24" i="1"/>
  <c r="J23" i="1"/>
  <c r="D23" i="1"/>
  <c r="G23" i="1" s="1"/>
  <c r="H25" i="1" l="1"/>
  <c r="J24" i="1"/>
  <c r="D24" i="1"/>
  <c r="G24" i="1" s="1"/>
  <c r="I24" i="1"/>
  <c r="M1535" i="3"/>
  <c r="L1536" i="3"/>
  <c r="M1536" i="3" l="1"/>
  <c r="L1537" i="3"/>
  <c r="M1537" i="3" s="1"/>
  <c r="I25" i="1"/>
  <c r="H26" i="1"/>
  <c r="D25" i="1"/>
  <c r="G25" i="1" s="1"/>
  <c r="J25" i="1"/>
  <c r="H27" i="1" l="1"/>
  <c r="J26" i="1"/>
  <c r="D26" i="1"/>
  <c r="G26" i="1" s="1"/>
  <c r="I26" i="1"/>
  <c r="J27" i="1" l="1"/>
  <c r="I27" i="1"/>
  <c r="H28" i="1"/>
  <c r="H29" i="1" l="1"/>
  <c r="I28" i="1"/>
  <c r="D28" i="1"/>
  <c r="G28" i="1" s="1"/>
  <c r="J28" i="1"/>
  <c r="D27" i="1"/>
  <c r="G27" i="1" s="1"/>
  <c r="I29" i="1" l="1"/>
  <c r="H30" i="1"/>
  <c r="J29" i="1"/>
  <c r="D29" i="1" l="1"/>
  <c r="G29" i="1" s="1"/>
  <c r="H31" i="1"/>
  <c r="I30" i="1"/>
  <c r="J30" i="1"/>
  <c r="D30" i="1"/>
  <c r="G30" i="1" s="1"/>
  <c r="H32" i="1" l="1"/>
  <c r="I31" i="1"/>
  <c r="J31" i="1"/>
  <c r="D31" i="1"/>
  <c r="G31" i="1" s="1"/>
  <c r="J32" i="1" l="1"/>
  <c r="H33" i="1"/>
  <c r="I32" i="1"/>
  <c r="D32" i="1"/>
  <c r="G32" i="1" s="1"/>
  <c r="H34" i="1" l="1"/>
  <c r="D33" i="1"/>
  <c r="G33" i="1" s="1"/>
  <c r="I33" i="1"/>
  <c r="J33" i="1"/>
  <c r="J34" i="1" l="1"/>
  <c r="H35" i="1"/>
  <c r="I34" i="1"/>
  <c r="D34" i="1"/>
  <c r="G34" i="1" s="1"/>
  <c r="H36" i="1" l="1"/>
  <c r="D35" i="1"/>
  <c r="G35" i="1" s="1"/>
  <c r="J35" i="1"/>
  <c r="I35" i="1"/>
  <c r="H37" i="1" l="1"/>
  <c r="D36" i="1"/>
  <c r="G36" i="1" s="1"/>
  <c r="J36" i="1"/>
  <c r="I36" i="1"/>
  <c r="I37" i="1" l="1"/>
  <c r="J37" i="1"/>
  <c r="H38" i="1"/>
  <c r="J38" i="1" l="1"/>
  <c r="I38" i="1"/>
  <c r="H39" i="1"/>
  <c r="D37" i="1"/>
  <c r="G37" i="1" s="1"/>
  <c r="H40" i="1" l="1"/>
  <c r="I39" i="1"/>
  <c r="D39" i="1"/>
  <c r="G39" i="1" s="1"/>
  <c r="J39" i="1"/>
  <c r="D38" i="1"/>
  <c r="G38" i="1" s="1"/>
  <c r="I40" i="1" l="1"/>
  <c r="J40" i="1"/>
  <c r="D40" i="1"/>
  <c r="G40" i="1" s="1"/>
  <c r="H41" i="1"/>
  <c r="H42" i="1" l="1"/>
  <c r="D41" i="1"/>
  <c r="G41" i="1" s="1"/>
  <c r="J41" i="1"/>
  <c r="I41" i="1"/>
  <c r="I42" i="1" l="1"/>
  <c r="J42" i="1"/>
  <c r="D42" i="1"/>
  <c r="G42" i="1" s="1"/>
  <c r="H43" i="1"/>
  <c r="J43" i="1" l="1"/>
  <c r="H44" i="1"/>
  <c r="D43" i="1"/>
  <c r="G43" i="1" s="1"/>
  <c r="I43" i="1"/>
  <c r="H45" i="1" l="1"/>
  <c r="D44" i="1"/>
  <c r="G44" i="1" s="1"/>
  <c r="J44" i="1"/>
  <c r="I44" i="1"/>
  <c r="D45" i="1" l="1"/>
  <c r="G45" i="1" s="1"/>
  <c r="J45" i="1"/>
  <c r="I45" i="1"/>
  <c r="H46" i="1"/>
  <c r="J46" i="1" l="1"/>
  <c r="D46" i="1"/>
  <c r="G46" i="1" s="1"/>
  <c r="H47" i="1"/>
  <c r="I46" i="1"/>
  <c r="H48" i="1" l="1"/>
  <c r="J47" i="1"/>
  <c r="D47" i="1"/>
  <c r="G47" i="1" s="1"/>
  <c r="I47" i="1"/>
  <c r="H49" i="1" l="1"/>
  <c r="J48" i="1"/>
  <c r="I48" i="1"/>
  <c r="D48" i="1"/>
  <c r="G48" i="1" s="1"/>
  <c r="H50" i="1" l="1"/>
  <c r="I49" i="1"/>
  <c r="D49" i="1"/>
  <c r="G49" i="1" s="1"/>
  <c r="J49" i="1"/>
  <c r="H51" i="1" l="1"/>
  <c r="D50" i="1"/>
  <c r="G50" i="1" s="1"/>
  <c r="J50" i="1"/>
  <c r="I50" i="1"/>
  <c r="D51" i="1" l="1"/>
  <c r="G51" i="1" s="1"/>
  <c r="H52" i="1"/>
  <c r="J51" i="1"/>
  <c r="I51" i="1"/>
  <c r="H53" i="1" l="1"/>
  <c r="J52" i="1"/>
  <c r="D52" i="1"/>
  <c r="G52" i="1" s="1"/>
  <c r="I52" i="1"/>
  <c r="H54" i="1" l="1"/>
  <c r="I53" i="1"/>
  <c r="D53" i="1"/>
  <c r="G53" i="1" s="1"/>
  <c r="J53" i="1"/>
  <c r="H55" i="1" l="1"/>
  <c r="D54" i="1"/>
  <c r="G54" i="1" s="1"/>
  <c r="J54" i="1"/>
  <c r="I54" i="1"/>
  <c r="I55" i="1" l="1"/>
  <c r="J55" i="1"/>
  <c r="H56" i="1"/>
  <c r="D55" i="1"/>
  <c r="G55" i="1" s="1"/>
  <c r="I56" i="1" l="1"/>
  <c r="J56" i="1"/>
  <c r="H57" i="1"/>
  <c r="D56" i="1"/>
  <c r="G56" i="1" s="1"/>
  <c r="H58" i="1" l="1"/>
  <c r="D57" i="1"/>
  <c r="G57" i="1" s="1"/>
  <c r="J57" i="1"/>
  <c r="I57" i="1"/>
  <c r="I58" i="1" l="1"/>
  <c r="H59" i="1"/>
  <c r="J58" i="1"/>
  <c r="D58" i="1"/>
  <c r="G58" i="1" s="1"/>
  <c r="J59" i="1" l="1"/>
  <c r="I59" i="1"/>
  <c r="H60" i="1"/>
  <c r="D59" i="1"/>
  <c r="G59" i="1" s="1"/>
  <c r="H61" i="1" l="1"/>
  <c r="I60" i="1"/>
  <c r="J60" i="1"/>
  <c r="D60" i="1" l="1"/>
  <c r="G60" i="1" s="1"/>
  <c r="I61" i="1"/>
  <c r="D61" i="1"/>
  <c r="G61" i="1" s="1"/>
  <c r="H62" i="1"/>
  <c r="J61" i="1"/>
  <c r="H63" i="1" l="1"/>
  <c r="D62" i="1"/>
  <c r="G62" i="1" s="1"/>
  <c r="J62" i="1"/>
  <c r="I62" i="1"/>
  <c r="I63" i="1" l="1"/>
  <c r="H64" i="1"/>
  <c r="D63" i="1"/>
  <c r="G63" i="1" s="1"/>
  <c r="J63" i="1"/>
  <c r="I64" i="1" l="1"/>
  <c r="H65" i="1"/>
  <c r="D64" i="1"/>
  <c r="G64" i="1" s="1"/>
  <c r="J64" i="1"/>
  <c r="H66" i="1" l="1"/>
  <c r="I65" i="1"/>
  <c r="D65" i="1"/>
  <c r="G65" i="1" s="1"/>
  <c r="J65" i="1"/>
  <c r="H67" i="1" l="1"/>
  <c r="I66" i="1"/>
  <c r="J66" i="1"/>
  <c r="D66" i="1"/>
  <c r="G66" i="1" s="1"/>
  <c r="J67" i="1" l="1"/>
  <c r="I67" i="1"/>
  <c r="H68" i="1"/>
  <c r="D67" i="1"/>
  <c r="G67" i="1" s="1"/>
  <c r="H69" i="1" l="1"/>
  <c r="J68" i="1"/>
  <c r="I68" i="1"/>
  <c r="D68" i="1"/>
  <c r="G68" i="1" s="1"/>
  <c r="D69" i="1" l="1"/>
  <c r="G69" i="1" s="1"/>
  <c r="I69" i="1"/>
  <c r="J69" i="1"/>
  <c r="H70" i="1"/>
  <c r="D70" i="1" l="1"/>
  <c r="G70" i="1" s="1"/>
  <c r="J70" i="1"/>
  <c r="H71" i="1"/>
  <c r="I70" i="1"/>
  <c r="D71" i="1" l="1"/>
  <c r="G71" i="1" s="1"/>
  <c r="H72" i="1"/>
  <c r="J71" i="1"/>
  <c r="I71" i="1"/>
  <c r="I72" i="1" l="1"/>
  <c r="D72" i="1"/>
  <c r="G72" i="1" s="1"/>
  <c r="H73" i="1"/>
  <c r="J72" i="1"/>
  <c r="H74" i="1" l="1"/>
  <c r="J73" i="1"/>
  <c r="I73" i="1"/>
  <c r="D73" i="1"/>
  <c r="G73" i="1" s="1"/>
  <c r="H75" i="1" l="1"/>
  <c r="J74" i="1"/>
  <c r="D74" i="1"/>
  <c r="G74" i="1" s="1"/>
  <c r="I74" i="1"/>
  <c r="H76" i="1" l="1"/>
  <c r="D75" i="1"/>
  <c r="G75" i="1" s="1"/>
  <c r="I75" i="1"/>
  <c r="J75" i="1"/>
  <c r="H77" i="1" l="1"/>
  <c r="J76" i="1"/>
  <c r="D76" i="1"/>
  <c r="G76" i="1" s="1"/>
  <c r="I76" i="1"/>
  <c r="H78" i="1" l="1"/>
  <c r="D77" i="1"/>
  <c r="G77" i="1" s="1"/>
  <c r="I77" i="1"/>
  <c r="J77" i="1"/>
  <c r="I78" i="1" l="1"/>
  <c r="H79" i="1"/>
  <c r="D78" i="1"/>
  <c r="G78" i="1" s="1"/>
  <c r="J78" i="1"/>
  <c r="D79" i="1" l="1"/>
  <c r="G79" i="1" s="1"/>
  <c r="H80" i="1"/>
  <c r="J79" i="1"/>
  <c r="I79" i="1"/>
  <c r="D80" i="1" l="1"/>
  <c r="G80" i="1" s="1"/>
  <c r="J80" i="1"/>
  <c r="I80" i="1"/>
  <c r="H81" i="1"/>
  <c r="I81" i="1" l="1"/>
  <c r="D81" i="1"/>
  <c r="G81" i="1" s="1"/>
  <c r="H82" i="1"/>
  <c r="J81" i="1"/>
  <c r="H83" i="1" l="1"/>
  <c r="I82" i="1"/>
  <c r="J82" i="1"/>
  <c r="D82" i="1" l="1"/>
  <c r="G82" i="1" s="1"/>
  <c r="I83" i="1"/>
  <c r="D83" i="1"/>
  <c r="G83" i="1" s="1"/>
  <c r="H84" i="1"/>
  <c r="J83" i="1"/>
  <c r="D84" i="1" l="1"/>
  <c r="G84" i="1" s="1"/>
  <c r="J84" i="1"/>
  <c r="H85" i="1"/>
  <c r="I84" i="1"/>
  <c r="D85" i="1" l="1"/>
  <c r="G85" i="1" s="1"/>
  <c r="J85" i="1"/>
  <c r="H86" i="1"/>
  <c r="I85" i="1"/>
  <c r="H87" i="1" l="1"/>
  <c r="J86" i="1"/>
  <c r="D86" i="1"/>
  <c r="G86" i="1" s="1"/>
  <c r="I86" i="1"/>
  <c r="H88" i="1" l="1"/>
  <c r="J87" i="1"/>
  <c r="I87" i="1"/>
  <c r="D87" i="1"/>
  <c r="G87" i="1" s="1"/>
  <c r="J88" i="1" l="1"/>
  <c r="H89" i="1"/>
  <c r="I88" i="1"/>
  <c r="D88" i="1"/>
  <c r="G88" i="1" s="1"/>
  <c r="H90" i="1" l="1"/>
  <c r="I89" i="1"/>
  <c r="D89" i="1"/>
  <c r="G89" i="1" s="1"/>
  <c r="J89" i="1"/>
  <c r="J90" i="1" l="1"/>
  <c r="H91" i="1"/>
  <c r="D90" i="1"/>
  <c r="G90" i="1" s="1"/>
  <c r="I90" i="1"/>
  <c r="D91" i="1" l="1"/>
  <c r="G91" i="1" s="1"/>
  <c r="H92" i="1"/>
  <c r="J91" i="1"/>
  <c r="I91" i="1"/>
  <c r="H93" i="1" l="1"/>
  <c r="D92" i="1"/>
  <c r="G92" i="1" s="1"/>
  <c r="I92" i="1"/>
  <c r="J92" i="1"/>
  <c r="J93" i="1" l="1"/>
  <c r="D93" i="1"/>
  <c r="G93" i="1" s="1"/>
  <c r="H94" i="1"/>
  <c r="I93" i="1"/>
  <c r="H95" i="1" l="1"/>
  <c r="J94" i="1"/>
  <c r="I94" i="1"/>
  <c r="D94" i="1"/>
  <c r="G94" i="1" s="1"/>
  <c r="H96" i="1" l="1"/>
  <c r="D95" i="1"/>
  <c r="G95" i="1" s="1"/>
  <c r="J95" i="1"/>
  <c r="I95" i="1"/>
  <c r="H97" i="1" l="1"/>
  <c r="I96" i="1"/>
  <c r="J96" i="1"/>
  <c r="D96" i="1"/>
  <c r="G96" i="1" s="1"/>
  <c r="H98" i="1" l="1"/>
  <c r="I97" i="1"/>
  <c r="J97" i="1"/>
  <c r="D97" i="1"/>
  <c r="G97" i="1" s="1"/>
  <c r="H99" i="1" l="1"/>
  <c r="J98" i="1"/>
  <c r="I98" i="1"/>
  <c r="D98" i="1"/>
  <c r="G98" i="1" s="1"/>
  <c r="J99" i="1" l="1"/>
  <c r="D99" i="1"/>
  <c r="G99" i="1" s="1"/>
  <c r="H100" i="1"/>
  <c r="I99" i="1"/>
  <c r="H101" i="1" l="1"/>
  <c r="D100" i="1"/>
  <c r="G100" i="1" s="1"/>
  <c r="J100" i="1"/>
  <c r="I100" i="1"/>
  <c r="J101" i="1" l="1"/>
  <c r="D101" i="1"/>
  <c r="G101" i="1" s="1"/>
  <c r="I101" i="1"/>
  <c r="H102" i="1"/>
  <c r="H103" i="1" l="1"/>
  <c r="D102" i="1"/>
  <c r="G102" i="1" s="1"/>
  <c r="J102" i="1"/>
  <c r="I102" i="1"/>
  <c r="H104" i="1" l="1"/>
  <c r="I103" i="1"/>
  <c r="D103" i="1"/>
  <c r="G103" i="1" s="1"/>
  <c r="J103" i="1"/>
  <c r="J104" i="1" l="1"/>
  <c r="D104" i="1"/>
  <c r="G104" i="1" s="1"/>
  <c r="H105" i="1"/>
  <c r="I104" i="1"/>
  <c r="H106" i="1" l="1"/>
  <c r="J105" i="1"/>
  <c r="I105" i="1"/>
  <c r="D105" i="1"/>
  <c r="G105" i="1" s="1"/>
  <c r="D106" i="1" l="1"/>
  <c r="G106" i="1" s="1"/>
  <c r="H107" i="1"/>
  <c r="J106" i="1"/>
  <c r="I106" i="1"/>
  <c r="D107" i="1" l="1"/>
  <c r="G107" i="1" s="1"/>
  <c r="J107" i="1"/>
  <c r="I107" i="1"/>
  <c r="H108" i="1"/>
  <c r="J108" i="1" l="1"/>
  <c r="I108" i="1"/>
  <c r="H109" i="1"/>
  <c r="D108" i="1"/>
  <c r="G108" i="1" s="1"/>
  <c r="J109" i="1" l="1"/>
  <c r="H110" i="1"/>
  <c r="I109" i="1"/>
  <c r="H111" i="1" l="1"/>
  <c r="D110" i="1"/>
  <c r="G110" i="1" s="1"/>
  <c r="J110" i="1"/>
  <c r="I110" i="1"/>
  <c r="D109" i="1"/>
  <c r="G109" i="1" s="1"/>
  <c r="D111" i="1" l="1"/>
  <c r="G111" i="1" s="1"/>
  <c r="H112" i="1"/>
  <c r="J111" i="1"/>
  <c r="I111" i="1"/>
  <c r="H113" i="1" l="1"/>
  <c r="J112" i="1"/>
  <c r="D112" i="1"/>
  <c r="G112" i="1" s="1"/>
  <c r="I112" i="1"/>
  <c r="J113" i="1" l="1"/>
  <c r="H114" i="1"/>
  <c r="I113" i="1"/>
  <c r="D113" i="1"/>
  <c r="G113" i="1" s="1"/>
  <c r="H115" i="1" l="1"/>
  <c r="I114" i="1"/>
  <c r="D114" i="1"/>
  <c r="G114" i="1" s="1"/>
  <c r="J114" i="1"/>
  <c r="H116" i="1" l="1"/>
  <c r="J115" i="1"/>
  <c r="I115" i="1"/>
  <c r="D115" i="1"/>
  <c r="G115" i="1" s="1"/>
  <c r="H117" i="1" l="1"/>
  <c r="D116" i="1"/>
  <c r="G116" i="1" s="1"/>
  <c r="J116" i="1"/>
  <c r="I116" i="1"/>
  <c r="J117" i="1" l="1"/>
  <c r="D117" i="1"/>
  <c r="G117" i="1" s="1"/>
  <c r="I117" i="1"/>
  <c r="H118" i="1"/>
  <c r="H119" i="1" l="1"/>
  <c r="I118" i="1"/>
  <c r="D118" i="1"/>
  <c r="G118" i="1" s="1"/>
  <c r="J118" i="1"/>
  <c r="H120" i="1" l="1"/>
  <c r="J119" i="1"/>
  <c r="D119" i="1"/>
  <c r="G119" i="1" s="1"/>
  <c r="I119" i="1"/>
  <c r="J120" i="1" l="1"/>
  <c r="D120" i="1"/>
  <c r="G120" i="1" s="1"/>
  <c r="H121" i="1"/>
  <c r="I120" i="1"/>
  <c r="H122" i="1" l="1"/>
  <c r="I121" i="1"/>
  <c r="D121" i="1"/>
  <c r="G121" i="1" s="1"/>
  <c r="J121" i="1"/>
  <c r="H123" i="1" l="1"/>
  <c r="D122" i="1"/>
  <c r="G122" i="1" s="1"/>
  <c r="I122" i="1"/>
  <c r="J122" i="1"/>
  <c r="H124" i="1" l="1"/>
  <c r="I123" i="1"/>
  <c r="J123" i="1"/>
  <c r="D123" i="1"/>
  <c r="G123" i="1" s="1"/>
  <c r="H125" i="1" l="1"/>
  <c r="J124" i="1"/>
  <c r="D124" i="1"/>
  <c r="G124" i="1" s="1"/>
  <c r="I124" i="1"/>
  <c r="J125" i="1" l="1"/>
  <c r="H126" i="1"/>
  <c r="D125" i="1"/>
  <c r="G125" i="1" s="1"/>
  <c r="I125" i="1"/>
  <c r="H127" i="1" l="1"/>
  <c r="I126" i="1"/>
  <c r="D126" i="1"/>
  <c r="G126" i="1" s="1"/>
  <c r="J126" i="1"/>
  <c r="H128" i="1" l="1"/>
  <c r="J127" i="1"/>
  <c r="I127" i="1"/>
  <c r="D127" i="1" l="1"/>
  <c r="G127" i="1" s="1"/>
  <c r="J128" i="1"/>
  <c r="H129" i="1"/>
  <c r="D128" i="1"/>
  <c r="G128" i="1" s="1"/>
  <c r="I128" i="1"/>
  <c r="I129" i="1" l="1"/>
  <c r="J129" i="1"/>
  <c r="D129" i="1"/>
  <c r="G129" i="1" s="1"/>
  <c r="H130" i="1"/>
  <c r="H131" i="1" l="1"/>
  <c r="I130" i="1"/>
  <c r="J130" i="1"/>
  <c r="D130" i="1"/>
  <c r="G130" i="1" s="1"/>
  <c r="H132" i="1" l="1"/>
  <c r="J131" i="1"/>
  <c r="I131" i="1"/>
  <c r="D131" i="1"/>
  <c r="G131" i="1" s="1"/>
  <c r="H133" i="1" l="1"/>
  <c r="I132" i="1"/>
  <c r="J132" i="1"/>
  <c r="D132" i="1"/>
  <c r="G132" i="1" s="1"/>
  <c r="I133" i="1" l="1"/>
  <c r="J133" i="1"/>
  <c r="H134" i="1"/>
  <c r="D133" i="1"/>
  <c r="G133" i="1" s="1"/>
  <c r="H135" i="1" l="1"/>
  <c r="J134" i="1"/>
  <c r="I134" i="1"/>
  <c r="D134" i="1"/>
  <c r="G134" i="1" s="1"/>
  <c r="H136" i="1" l="1"/>
  <c r="D135" i="1"/>
  <c r="G135" i="1" s="1"/>
  <c r="J135" i="1"/>
  <c r="I135" i="1"/>
  <c r="D136" i="1" l="1"/>
  <c r="G136" i="1" s="1"/>
  <c r="H137" i="1"/>
  <c r="J136" i="1"/>
  <c r="I136" i="1"/>
  <c r="I137" i="1" l="1"/>
  <c r="H138" i="1"/>
  <c r="J137" i="1"/>
  <c r="D137" i="1"/>
  <c r="G137" i="1" s="1"/>
  <c r="I138" i="1" l="1"/>
  <c r="D138" i="1"/>
  <c r="G138" i="1" s="1"/>
  <c r="H139" i="1"/>
  <c r="J138" i="1"/>
  <c r="H140" i="1" l="1"/>
  <c r="J139" i="1"/>
  <c r="I139" i="1"/>
  <c r="D139" i="1" l="1"/>
  <c r="G139" i="1" s="1"/>
  <c r="J140" i="1"/>
  <c r="H141" i="1"/>
  <c r="D140" i="1"/>
  <c r="G140" i="1" s="1"/>
  <c r="I140" i="1"/>
  <c r="J141" i="1" l="1"/>
  <c r="D141" i="1"/>
  <c r="G141" i="1" s="1"/>
  <c r="I141" i="1"/>
  <c r="H142" i="1"/>
  <c r="H143" i="1" l="1"/>
  <c r="I142" i="1"/>
  <c r="D142" i="1"/>
  <c r="G142" i="1" s="1"/>
  <c r="J142" i="1"/>
  <c r="H144" i="1" l="1"/>
  <c r="D143" i="1"/>
  <c r="G143" i="1" s="1"/>
  <c r="J143" i="1"/>
  <c r="I143" i="1"/>
  <c r="H145" i="1" l="1"/>
  <c r="I144" i="1"/>
  <c r="J144" i="1"/>
  <c r="D144" i="1" l="1"/>
  <c r="G144" i="1" s="1"/>
  <c r="I145" i="1"/>
  <c r="H146" i="1"/>
  <c r="D145" i="1"/>
  <c r="G145" i="1" s="1"/>
  <c r="J145" i="1"/>
  <c r="J146" i="1" l="1"/>
  <c r="I146" i="1"/>
  <c r="H147" i="1"/>
  <c r="D146" i="1"/>
  <c r="G146" i="1" s="1"/>
  <c r="I147" i="1" l="1"/>
  <c r="H148" i="1"/>
  <c r="D147" i="1"/>
  <c r="G147" i="1" s="1"/>
  <c r="J147" i="1"/>
  <c r="H149" i="1" l="1"/>
  <c r="D148" i="1"/>
  <c r="G148" i="1" s="1"/>
  <c r="J148" i="1"/>
  <c r="I148" i="1"/>
  <c r="H150" i="1" l="1"/>
  <c r="D149" i="1"/>
  <c r="G149" i="1" s="1"/>
  <c r="J149" i="1"/>
  <c r="I149" i="1"/>
  <c r="H151" i="1" l="1"/>
  <c r="I150" i="1"/>
  <c r="J150" i="1"/>
  <c r="D150" i="1"/>
  <c r="G150" i="1" s="1"/>
  <c r="H152" i="1" l="1"/>
  <c r="J151" i="1"/>
  <c r="D151" i="1"/>
  <c r="G151" i="1" s="1"/>
  <c r="I151" i="1"/>
  <c r="H153" i="1" l="1"/>
  <c r="D152" i="1"/>
  <c r="G152" i="1" s="1"/>
  <c r="I152" i="1"/>
  <c r="J152" i="1"/>
  <c r="D153" i="1" l="1"/>
  <c r="G153" i="1" s="1"/>
  <c r="H154" i="1"/>
  <c r="I153" i="1"/>
  <c r="J153" i="1"/>
  <c r="H155" i="1" l="1"/>
  <c r="D154" i="1"/>
  <c r="G154" i="1" s="1"/>
  <c r="I154" i="1"/>
  <c r="J154" i="1"/>
  <c r="I155" i="1" l="1"/>
  <c r="J155" i="1"/>
  <c r="H156" i="1"/>
  <c r="D155" i="1"/>
  <c r="G155" i="1" s="1"/>
  <c r="J156" i="1" l="1"/>
  <c r="D156" i="1"/>
  <c r="G156" i="1" s="1"/>
  <c r="H157" i="1"/>
  <c r="I156" i="1"/>
  <c r="I157" i="1" l="1"/>
  <c r="J157" i="1"/>
  <c r="D157" i="1"/>
  <c r="G157" i="1" s="1"/>
  <c r="H158" i="1"/>
  <c r="H159" i="1" l="1"/>
  <c r="J158" i="1"/>
  <c r="D158" i="1"/>
  <c r="G158" i="1" s="1"/>
  <c r="I158" i="1"/>
  <c r="H160" i="1" l="1"/>
  <c r="I159" i="1"/>
  <c r="J159" i="1"/>
  <c r="D159" i="1"/>
  <c r="G159" i="1" s="1"/>
  <c r="H161" i="1" l="1"/>
  <c r="I160" i="1"/>
  <c r="D160" i="1"/>
  <c r="G160" i="1" s="1"/>
  <c r="J160" i="1"/>
  <c r="I161" i="1" l="1"/>
  <c r="H162" i="1"/>
  <c r="J161" i="1"/>
  <c r="D161" i="1"/>
  <c r="G161" i="1" s="1"/>
  <c r="H163" i="1" l="1"/>
  <c r="I162" i="1"/>
  <c r="J162" i="1"/>
  <c r="D162" i="1"/>
  <c r="G162" i="1" s="1"/>
  <c r="I163" i="1" l="1"/>
  <c r="H164" i="1"/>
  <c r="J163" i="1"/>
  <c r="D163" i="1"/>
  <c r="G163" i="1" s="1"/>
  <c r="H165" i="1" l="1"/>
  <c r="D164" i="1"/>
  <c r="G164" i="1" s="1"/>
  <c r="J164" i="1"/>
  <c r="I164" i="1"/>
  <c r="I165" i="1" l="1"/>
  <c r="D165" i="1"/>
  <c r="G165" i="1" s="1"/>
  <c r="J165" i="1"/>
  <c r="H166" i="1"/>
  <c r="I166" i="1" l="1"/>
  <c r="H167" i="1"/>
  <c r="J166" i="1"/>
  <c r="D166" i="1"/>
  <c r="G166" i="1" s="1"/>
  <c r="H168" i="1" l="1"/>
  <c r="D167" i="1"/>
  <c r="G167" i="1" s="1"/>
  <c r="J167" i="1"/>
  <c r="I167" i="1"/>
  <c r="H169" i="1" l="1"/>
  <c r="D168" i="1"/>
  <c r="G168" i="1" s="1"/>
  <c r="J168" i="1"/>
  <c r="I168" i="1"/>
  <c r="I169" i="1" l="1"/>
  <c r="H170" i="1"/>
  <c r="D169" i="1"/>
  <c r="G169" i="1" s="1"/>
  <c r="J169" i="1"/>
  <c r="D170" i="1" l="1"/>
  <c r="G170" i="1" s="1"/>
  <c r="I170" i="1"/>
  <c r="J170" i="1"/>
  <c r="H171" i="1"/>
  <c r="H172" i="1" l="1"/>
  <c r="J171" i="1"/>
  <c r="D171" i="1"/>
  <c r="G171" i="1" s="1"/>
  <c r="I171" i="1"/>
  <c r="H173" i="1" l="1"/>
  <c r="J172" i="1"/>
  <c r="D172" i="1"/>
  <c r="G172" i="1" s="1"/>
  <c r="I172" i="1"/>
  <c r="D173" i="1" l="1"/>
  <c r="G173" i="1" s="1"/>
  <c r="J173" i="1"/>
  <c r="H174" i="1"/>
  <c r="I173" i="1"/>
  <c r="H175" i="1" l="1"/>
  <c r="I174" i="1"/>
  <c r="D174" i="1"/>
  <c r="G174" i="1" s="1"/>
  <c r="J174" i="1"/>
  <c r="H176" i="1" l="1"/>
  <c r="I175" i="1"/>
  <c r="J175" i="1"/>
  <c r="D175" i="1"/>
  <c r="G175" i="1" s="1"/>
  <c r="H177" i="1" l="1"/>
  <c r="I176" i="1"/>
  <c r="J176" i="1"/>
  <c r="D176" i="1"/>
  <c r="G176" i="1" s="1"/>
  <c r="H178" i="1" l="1"/>
  <c r="J177" i="1"/>
  <c r="I177" i="1"/>
  <c r="D177" i="1"/>
  <c r="G177" i="1" s="1"/>
  <c r="H179" i="1" l="1"/>
  <c r="J178" i="1"/>
  <c r="I178" i="1"/>
  <c r="D178" i="1"/>
  <c r="G178" i="1" s="1"/>
  <c r="J179" i="1" l="1"/>
  <c r="H180" i="1"/>
  <c r="I179" i="1"/>
  <c r="D179" i="1"/>
  <c r="G179" i="1" s="1"/>
  <c r="H181" i="1" l="1"/>
  <c r="J180" i="1"/>
  <c r="D180" i="1"/>
  <c r="G180" i="1" s="1"/>
  <c r="I180" i="1"/>
  <c r="H182" i="1" l="1"/>
  <c r="J181" i="1"/>
  <c r="D181" i="1"/>
  <c r="G181" i="1" s="1"/>
  <c r="I181" i="1"/>
  <c r="D182" i="1" l="1"/>
  <c r="G182" i="1" s="1"/>
  <c r="J182" i="1"/>
  <c r="H183" i="1"/>
  <c r="I182" i="1"/>
  <c r="I183" i="1" l="1"/>
  <c r="H184" i="1"/>
  <c r="J183" i="1"/>
  <c r="H185" i="1" l="1"/>
  <c r="D184" i="1"/>
  <c r="G184" i="1" s="1"/>
  <c r="J184" i="1"/>
  <c r="I184" i="1"/>
  <c r="D183" i="1"/>
  <c r="G183" i="1" s="1"/>
  <c r="H186" i="1" l="1"/>
  <c r="D185" i="1"/>
  <c r="G185" i="1" s="1"/>
  <c r="J185" i="1"/>
  <c r="I185" i="1"/>
  <c r="D186" i="1" l="1"/>
  <c r="G186" i="1" s="1"/>
  <c r="H187" i="1"/>
  <c r="I186" i="1"/>
  <c r="J186" i="1"/>
  <c r="H188" i="1" l="1"/>
  <c r="D187" i="1"/>
  <c r="G187" i="1" s="1"/>
  <c r="J187" i="1"/>
  <c r="I187" i="1"/>
  <c r="H189" i="1" l="1"/>
  <c r="D188" i="1"/>
  <c r="G188" i="1" s="1"/>
  <c r="J188" i="1"/>
  <c r="I188" i="1"/>
  <c r="H190" i="1" l="1"/>
  <c r="J189" i="1"/>
  <c r="D189" i="1"/>
  <c r="G189" i="1" s="1"/>
  <c r="I189" i="1"/>
  <c r="H191" i="1" l="1"/>
  <c r="I190" i="1"/>
  <c r="D190" i="1"/>
  <c r="G190" i="1" s="1"/>
  <c r="J190" i="1"/>
  <c r="D191" i="1" l="1"/>
  <c r="G191" i="1" s="1"/>
  <c r="H192" i="1"/>
  <c r="J191" i="1"/>
  <c r="I191" i="1"/>
  <c r="H193" i="1" l="1"/>
  <c r="I192" i="1"/>
  <c r="J192" i="1"/>
  <c r="D192" i="1" l="1"/>
  <c r="G192" i="1" s="1"/>
  <c r="D193" i="1"/>
  <c r="G193" i="1" s="1"/>
  <c r="H194" i="1"/>
  <c r="J193" i="1"/>
  <c r="I193" i="1"/>
  <c r="D194" i="1" l="1"/>
  <c r="G194" i="1" s="1"/>
  <c r="H195" i="1"/>
  <c r="J194" i="1"/>
  <c r="I194" i="1"/>
  <c r="I195" i="1" l="1"/>
  <c r="H196" i="1"/>
  <c r="D195" i="1"/>
  <c r="G195" i="1" s="1"/>
  <c r="J195" i="1"/>
  <c r="H197" i="1" l="1"/>
  <c r="D196" i="1"/>
  <c r="G196" i="1" s="1"/>
  <c r="J196" i="1"/>
  <c r="I196" i="1"/>
  <c r="H198" i="1" l="1"/>
  <c r="I197" i="1"/>
  <c r="J197" i="1"/>
  <c r="D197" i="1"/>
  <c r="G197" i="1" s="1"/>
  <c r="H199" i="1" l="1"/>
  <c r="I198" i="1"/>
  <c r="J198" i="1"/>
  <c r="D198" i="1"/>
  <c r="G198" i="1" s="1"/>
  <c r="H200" i="1" l="1"/>
  <c r="J199" i="1"/>
  <c r="D199" i="1"/>
  <c r="G199" i="1" s="1"/>
  <c r="I199" i="1"/>
  <c r="D200" i="1" l="1"/>
  <c r="G200" i="1" s="1"/>
  <c r="I200" i="1"/>
  <c r="H201" i="1"/>
  <c r="J200" i="1"/>
  <c r="H202" i="1" l="1"/>
  <c r="D201" i="1"/>
  <c r="G201" i="1" s="1"/>
  <c r="J201" i="1"/>
  <c r="I201" i="1"/>
  <c r="H203" i="1" l="1"/>
  <c r="J202" i="1"/>
  <c r="D202" i="1"/>
  <c r="G202" i="1" s="1"/>
  <c r="I202" i="1"/>
  <c r="H204" i="1" l="1"/>
  <c r="J203" i="1"/>
  <c r="I203" i="1"/>
  <c r="D203" i="1"/>
  <c r="G203" i="1" s="1"/>
  <c r="D204" i="1" l="1"/>
  <c r="G204" i="1" s="1"/>
  <c r="J204" i="1"/>
  <c r="I204" i="1"/>
  <c r="H205" i="1"/>
  <c r="H206" i="1" l="1"/>
  <c r="I205" i="1"/>
  <c r="J205" i="1"/>
  <c r="D205" i="1"/>
  <c r="G205" i="1" s="1"/>
  <c r="H207" i="1" l="1"/>
  <c r="I206" i="1"/>
  <c r="D206" i="1"/>
  <c r="G206" i="1" s="1"/>
  <c r="J206" i="1"/>
  <c r="H208" i="1" l="1"/>
  <c r="D207" i="1"/>
  <c r="G207" i="1" s="1"/>
  <c r="J207" i="1"/>
  <c r="I207" i="1"/>
  <c r="H209" i="1" l="1"/>
  <c r="J208" i="1"/>
  <c r="D208" i="1"/>
  <c r="G208" i="1" s="1"/>
  <c r="I208" i="1"/>
  <c r="H210" i="1" l="1"/>
  <c r="J209" i="1"/>
  <c r="D209" i="1"/>
  <c r="G209" i="1" s="1"/>
  <c r="I209" i="1"/>
  <c r="H211" i="1" l="1"/>
  <c r="J210" i="1"/>
  <c r="D210" i="1"/>
  <c r="G210" i="1" s="1"/>
  <c r="I210" i="1"/>
  <c r="H212" i="1" l="1"/>
  <c r="I211" i="1"/>
  <c r="D211" i="1"/>
  <c r="G211" i="1" s="1"/>
  <c r="J211" i="1"/>
  <c r="H213" i="1" l="1"/>
  <c r="J212" i="1"/>
  <c r="I212" i="1"/>
  <c r="D212" i="1" l="1"/>
  <c r="G212" i="1" s="1"/>
  <c r="D213" i="1"/>
  <c r="G213" i="1" s="1"/>
  <c r="H214" i="1"/>
  <c r="I213" i="1"/>
  <c r="J213" i="1"/>
  <c r="J214" i="1" l="1"/>
  <c r="D214" i="1"/>
  <c r="G214" i="1" s="1"/>
  <c r="H215" i="1"/>
  <c r="I214" i="1"/>
  <c r="H216" i="1" l="1"/>
  <c r="J215" i="1"/>
  <c r="I215" i="1"/>
  <c r="D215" i="1" l="1"/>
  <c r="G215" i="1" s="1"/>
  <c r="H217" i="1"/>
  <c r="I216" i="1"/>
  <c r="D216" i="1"/>
  <c r="G216" i="1" s="1"/>
  <c r="J216" i="1"/>
  <c r="D217" i="1" l="1"/>
  <c r="G217" i="1" s="1"/>
  <c r="H218" i="1"/>
  <c r="J217" i="1"/>
  <c r="I217" i="1"/>
  <c r="D218" i="1" l="1"/>
  <c r="G218" i="1" s="1"/>
  <c r="H219" i="1"/>
  <c r="I218" i="1"/>
  <c r="J218" i="1"/>
  <c r="H220" i="1" l="1"/>
  <c r="I219" i="1"/>
  <c r="J219" i="1"/>
  <c r="D219" i="1"/>
  <c r="G219" i="1" s="1"/>
  <c r="I220" i="1" l="1"/>
  <c r="J220" i="1"/>
  <c r="D220" i="1"/>
  <c r="G220" i="1" s="1"/>
  <c r="H221" i="1"/>
  <c r="H222" i="1" l="1"/>
  <c r="I221" i="1"/>
  <c r="J221" i="1"/>
  <c r="D221" i="1" l="1"/>
  <c r="G221" i="1" s="1"/>
  <c r="D222" i="1"/>
  <c r="G222" i="1" s="1"/>
  <c r="I222" i="1"/>
  <c r="H223" i="1"/>
  <c r="J222" i="1"/>
  <c r="H224" i="1" l="1"/>
  <c r="J223" i="1"/>
  <c r="D223" i="1"/>
  <c r="G223" i="1" s="1"/>
  <c r="I223" i="1"/>
  <c r="H225" i="1" l="1"/>
  <c r="J224" i="1"/>
  <c r="I224" i="1"/>
  <c r="D224" i="1"/>
  <c r="G224" i="1" s="1"/>
  <c r="H226" i="1" l="1"/>
  <c r="I225" i="1"/>
  <c r="J225" i="1"/>
  <c r="D225" i="1"/>
  <c r="G225" i="1" s="1"/>
  <c r="D226" i="1" l="1"/>
  <c r="G226" i="1" s="1"/>
  <c r="H227" i="1"/>
  <c r="J226" i="1"/>
  <c r="I226" i="1"/>
  <c r="H228" i="1" l="1"/>
  <c r="D227" i="1"/>
  <c r="G227" i="1" s="1"/>
  <c r="J227" i="1"/>
  <c r="I227" i="1"/>
  <c r="D228" i="1" l="1"/>
  <c r="G228" i="1" s="1"/>
  <c r="I228" i="1"/>
  <c r="J228" i="1"/>
  <c r="H229" i="1"/>
  <c r="J229" i="1" l="1"/>
  <c r="I229" i="1"/>
  <c r="D229" i="1"/>
  <c r="G229" i="1" s="1"/>
  <c r="H230" i="1"/>
  <c r="J230" i="1" l="1"/>
  <c r="H231" i="1"/>
  <c r="I230" i="1"/>
  <c r="D230" i="1" l="1"/>
  <c r="G230" i="1" s="1"/>
  <c r="H232" i="1"/>
  <c r="D231" i="1"/>
  <c r="G231" i="1" s="1"/>
  <c r="J231" i="1"/>
  <c r="I231" i="1"/>
  <c r="H233" i="1" l="1"/>
  <c r="J232" i="1"/>
  <c r="D232" i="1"/>
  <c r="G232" i="1" s="1"/>
  <c r="I232" i="1"/>
  <c r="H234" i="1" l="1"/>
  <c r="I233" i="1"/>
  <c r="D233" i="1"/>
  <c r="G233" i="1" s="1"/>
  <c r="J233" i="1"/>
  <c r="H235" i="1" l="1"/>
  <c r="D234" i="1"/>
  <c r="G234" i="1" s="1"/>
  <c r="J234" i="1"/>
  <c r="I234" i="1"/>
  <c r="I235" i="1" l="1"/>
  <c r="D235" i="1"/>
  <c r="G235" i="1" s="1"/>
  <c r="J235" i="1"/>
  <c r="H236" i="1"/>
  <c r="J236" i="1" l="1"/>
  <c r="D236" i="1"/>
  <c r="G236" i="1" s="1"/>
  <c r="I236" i="1"/>
  <c r="H237" i="1"/>
  <c r="H238" i="1" l="1"/>
  <c r="J237" i="1"/>
  <c r="I237" i="1"/>
  <c r="D237" i="1" l="1"/>
  <c r="G237" i="1" s="1"/>
  <c r="H239" i="1"/>
  <c r="J238" i="1"/>
  <c r="D238" i="1"/>
  <c r="G238" i="1" s="1"/>
  <c r="I238" i="1"/>
  <c r="H240" i="1" l="1"/>
  <c r="D239" i="1"/>
  <c r="G239" i="1" s="1"/>
  <c r="I239" i="1"/>
  <c r="J239" i="1"/>
  <c r="I240" i="1" l="1"/>
  <c r="J240" i="1"/>
  <c r="D240" i="1"/>
  <c r="G240" i="1" s="1"/>
  <c r="H241" i="1"/>
  <c r="H242" i="1" l="1"/>
  <c r="I241" i="1"/>
  <c r="J241" i="1"/>
  <c r="D241" i="1" l="1"/>
  <c r="G241" i="1" s="1"/>
  <c r="H243" i="1"/>
  <c r="I242" i="1"/>
  <c r="D242" i="1"/>
  <c r="G242" i="1" s="1"/>
  <c r="J242" i="1"/>
  <c r="H244" i="1" l="1"/>
  <c r="J243" i="1"/>
  <c r="D243" i="1"/>
  <c r="G243" i="1" s="1"/>
  <c r="I243" i="1"/>
  <c r="H245" i="1" l="1"/>
  <c r="I244" i="1"/>
  <c r="D244" i="1"/>
  <c r="G244" i="1" s="1"/>
  <c r="J244" i="1"/>
  <c r="H246" i="1" l="1"/>
  <c r="J245" i="1"/>
  <c r="I245" i="1"/>
  <c r="D245" i="1"/>
  <c r="G245" i="1" s="1"/>
  <c r="D246" i="1" l="1"/>
  <c r="G246" i="1" s="1"/>
  <c r="H247" i="1"/>
  <c r="J246" i="1"/>
  <c r="I246" i="1"/>
  <c r="H248" i="1" l="1"/>
  <c r="J247" i="1"/>
  <c r="D247" i="1"/>
  <c r="G247" i="1" s="1"/>
  <c r="I247" i="1"/>
  <c r="H249" i="1" l="1"/>
  <c r="J248" i="1"/>
  <c r="I248" i="1"/>
  <c r="D248" i="1"/>
  <c r="G248" i="1" s="1"/>
  <c r="H250" i="1" l="1"/>
  <c r="D249" i="1"/>
  <c r="G249" i="1" s="1"/>
  <c r="J249" i="1"/>
  <c r="I249" i="1"/>
  <c r="J250" i="1" l="1"/>
  <c r="H251" i="1"/>
  <c r="I250" i="1"/>
  <c r="D250" i="1"/>
  <c r="G250" i="1" s="1"/>
  <c r="H252" i="1" l="1"/>
  <c r="J251" i="1"/>
  <c r="I251" i="1"/>
  <c r="D251" i="1"/>
  <c r="G251" i="1" s="1"/>
  <c r="H253" i="1" l="1"/>
  <c r="J252" i="1"/>
  <c r="D252" i="1"/>
  <c r="G252" i="1" s="1"/>
  <c r="I252" i="1"/>
  <c r="I253" i="1" l="1"/>
  <c r="J253" i="1"/>
  <c r="D253" i="1"/>
  <c r="G253" i="1" s="1"/>
  <c r="H254" i="1"/>
  <c r="H255" i="1" l="1"/>
  <c r="D254" i="1"/>
  <c r="G254" i="1" s="1"/>
  <c r="J254" i="1"/>
  <c r="I254" i="1"/>
  <c r="D10" i="6" l="1"/>
  <c r="D255" i="1"/>
  <c r="G255" i="1" s="1"/>
  <c r="J255" i="1"/>
  <c r="H256" i="1"/>
  <c r="F10" i="6"/>
  <c r="I255" i="1"/>
  <c r="D256" i="1" l="1"/>
  <c r="G256" i="1" s="1"/>
  <c r="H257" i="1"/>
  <c r="J256" i="1"/>
  <c r="I256" i="1"/>
  <c r="J257" i="1" l="1"/>
  <c r="I257" i="1"/>
  <c r="H258" i="1"/>
  <c r="D257" i="1"/>
  <c r="G257" i="1" s="1"/>
  <c r="J258" i="1" l="1"/>
  <c r="D258" i="1"/>
  <c r="G258" i="1" s="1"/>
  <c r="I258" i="1"/>
  <c r="H259" i="1"/>
  <c r="D259" i="1" l="1"/>
  <c r="G259" i="1" s="1"/>
  <c r="H260" i="1"/>
  <c r="I259" i="1"/>
  <c r="J259" i="1"/>
  <c r="J260" i="1" l="1"/>
  <c r="H261" i="1"/>
  <c r="D260" i="1"/>
  <c r="G260" i="1" s="1"/>
  <c r="I260" i="1"/>
  <c r="D261" i="1" l="1"/>
  <c r="G261" i="1" s="1"/>
  <c r="I261" i="1"/>
  <c r="H262" i="1"/>
  <c r="J261" i="1"/>
  <c r="D262" i="1" l="1"/>
  <c r="G262" i="1" s="1"/>
  <c r="I262" i="1"/>
  <c r="H263" i="1"/>
  <c r="J262" i="1"/>
  <c r="I263" i="1" l="1"/>
  <c r="H264" i="1"/>
  <c r="J263" i="1"/>
  <c r="D263" i="1"/>
  <c r="G263" i="1" s="1"/>
  <c r="D264" i="1" l="1"/>
  <c r="G264" i="1" s="1"/>
  <c r="H265" i="1"/>
  <c r="I264" i="1"/>
  <c r="J264" i="1"/>
  <c r="D265" i="1" l="1"/>
  <c r="G265" i="1" s="1"/>
  <c r="J265" i="1"/>
  <c r="I265" i="1"/>
  <c r="H266" i="1"/>
  <c r="H267" i="1" l="1"/>
  <c r="I266" i="1"/>
  <c r="J266" i="1"/>
  <c r="D266" i="1" l="1"/>
  <c r="G266" i="1" s="1"/>
  <c r="H268" i="1"/>
  <c r="D267" i="1"/>
  <c r="G267" i="1" s="1"/>
  <c r="I267" i="1"/>
  <c r="J267" i="1"/>
  <c r="H269" i="1" l="1"/>
  <c r="J268" i="1"/>
  <c r="D268" i="1"/>
  <c r="G268" i="1" s="1"/>
  <c r="I268" i="1"/>
  <c r="J269" i="1" l="1"/>
  <c r="D269" i="1"/>
  <c r="G269" i="1" s="1"/>
  <c r="H270" i="1"/>
  <c r="I269" i="1"/>
  <c r="H271" i="1" l="1"/>
  <c r="J270" i="1"/>
  <c r="D270" i="1"/>
  <c r="G270" i="1" s="1"/>
  <c r="I270" i="1"/>
  <c r="D271" i="1" l="1"/>
  <c r="G271" i="1" s="1"/>
  <c r="J271" i="1"/>
  <c r="H272" i="1"/>
  <c r="I271" i="1"/>
  <c r="D272" i="1" l="1"/>
  <c r="G272" i="1" s="1"/>
  <c r="I272" i="1"/>
  <c r="J272" i="1"/>
  <c r="H273" i="1"/>
  <c r="D273" i="1" l="1"/>
  <c r="G273" i="1" s="1"/>
  <c r="J273" i="1"/>
  <c r="I273" i="1"/>
  <c r="H274" i="1"/>
  <c r="H275" i="1" l="1"/>
  <c r="D274" i="1"/>
  <c r="G274" i="1" s="1"/>
  <c r="I274" i="1"/>
  <c r="J274" i="1"/>
  <c r="J275" i="1" l="1"/>
  <c r="H276" i="1"/>
  <c r="D275" i="1"/>
  <c r="G275" i="1" s="1"/>
  <c r="I275" i="1"/>
  <c r="H277" i="1" l="1"/>
  <c r="J276" i="1"/>
  <c r="D276" i="1"/>
  <c r="G276" i="1" s="1"/>
  <c r="I276" i="1"/>
  <c r="I277" i="1" l="1"/>
  <c r="D277" i="1"/>
  <c r="G277" i="1" s="1"/>
  <c r="J277" i="1"/>
  <c r="H278" i="1"/>
  <c r="I278" i="1" l="1"/>
  <c r="J278" i="1"/>
  <c r="H279" i="1"/>
  <c r="D278" i="1"/>
  <c r="G278" i="1" s="1"/>
  <c r="I279" i="1" l="1"/>
  <c r="D279" i="1"/>
  <c r="G279" i="1" s="1"/>
  <c r="H280" i="1"/>
  <c r="J279" i="1"/>
  <c r="J280" i="1" l="1"/>
  <c r="H281" i="1"/>
  <c r="I280" i="1"/>
  <c r="D280" i="1"/>
  <c r="G280" i="1" s="1"/>
  <c r="H282" i="1" l="1"/>
  <c r="I281" i="1"/>
  <c r="D281" i="1"/>
  <c r="G281" i="1" s="1"/>
  <c r="J281" i="1"/>
  <c r="I282" i="1" l="1"/>
  <c r="D282" i="1"/>
  <c r="G282" i="1" s="1"/>
  <c r="H283" i="1"/>
  <c r="J282" i="1"/>
  <c r="I283" i="1" l="1"/>
  <c r="H284" i="1"/>
  <c r="J283" i="1"/>
  <c r="D283" i="1"/>
  <c r="G283" i="1" s="1"/>
  <c r="H285" i="1" l="1"/>
  <c r="I284" i="1"/>
  <c r="D284" i="1"/>
  <c r="G284" i="1" s="1"/>
  <c r="J284" i="1"/>
  <c r="H286" i="1" l="1"/>
  <c r="J285" i="1"/>
  <c r="D285" i="1"/>
  <c r="G285" i="1" s="1"/>
  <c r="I285" i="1"/>
  <c r="D286" i="1" l="1"/>
  <c r="G286" i="1" s="1"/>
  <c r="J286" i="1"/>
  <c r="I286" i="1"/>
  <c r="H287" i="1"/>
  <c r="H288" i="1" l="1"/>
  <c r="J287" i="1"/>
  <c r="D287" i="1"/>
  <c r="G287" i="1" s="1"/>
  <c r="I287" i="1"/>
  <c r="J288" i="1" l="1"/>
  <c r="D288" i="1"/>
  <c r="G288" i="1" s="1"/>
  <c r="I288" i="1"/>
  <c r="H289" i="1"/>
  <c r="J289" i="1" l="1"/>
  <c r="I289" i="1"/>
  <c r="D289" i="1"/>
  <c r="G289" i="1" s="1"/>
  <c r="H290" i="1"/>
  <c r="I290" i="1" l="1"/>
  <c r="H291" i="1"/>
  <c r="D290" i="1"/>
  <c r="G290" i="1" s="1"/>
  <c r="J290" i="1"/>
  <c r="J291" i="1" l="1"/>
  <c r="D291" i="1"/>
  <c r="G291" i="1" s="1"/>
  <c r="I291" i="1"/>
  <c r="H292" i="1"/>
  <c r="J292" i="1" l="1"/>
  <c r="H293" i="1"/>
  <c r="D292" i="1"/>
  <c r="G292" i="1" s="1"/>
  <c r="I292" i="1"/>
  <c r="H294" i="1" l="1"/>
  <c r="D293" i="1"/>
  <c r="G293" i="1" s="1"/>
  <c r="I293" i="1"/>
  <c r="J293" i="1"/>
  <c r="I294" i="1" l="1"/>
  <c r="H295" i="1"/>
  <c r="D294" i="1"/>
  <c r="G294" i="1" s="1"/>
  <c r="J294" i="1"/>
  <c r="H296" i="1" l="1"/>
  <c r="I295" i="1"/>
  <c r="J295" i="1"/>
  <c r="D295" i="1"/>
  <c r="G295" i="1" s="1"/>
  <c r="H297" i="1" l="1"/>
  <c r="I296" i="1"/>
  <c r="J296" i="1"/>
  <c r="D296" i="1"/>
  <c r="G296" i="1" s="1"/>
  <c r="D297" i="1" l="1"/>
  <c r="G297" i="1" s="1"/>
  <c r="J297" i="1"/>
  <c r="H298" i="1"/>
  <c r="I297" i="1"/>
  <c r="H299" i="1" l="1"/>
  <c r="J298" i="1"/>
  <c r="D298" i="1"/>
  <c r="G298" i="1" s="1"/>
  <c r="I298" i="1"/>
  <c r="D299" i="1" l="1"/>
  <c r="G299" i="1" s="1"/>
  <c r="H300" i="1"/>
  <c r="J299" i="1"/>
  <c r="I299" i="1"/>
  <c r="J300" i="1" l="1"/>
  <c r="D300" i="1"/>
  <c r="G300" i="1" s="1"/>
  <c r="H301" i="1"/>
  <c r="I300" i="1"/>
  <c r="I301" i="1" l="1"/>
  <c r="H302" i="1"/>
  <c r="J301" i="1"/>
  <c r="D301" i="1"/>
  <c r="G301" i="1" s="1"/>
  <c r="D302" i="1" l="1"/>
  <c r="G302" i="1" s="1"/>
  <c r="H303" i="1"/>
  <c r="J302" i="1"/>
  <c r="I302" i="1"/>
  <c r="H304" i="1" l="1"/>
  <c r="I303" i="1"/>
  <c r="D303" i="1"/>
  <c r="G303" i="1" s="1"/>
  <c r="J303" i="1"/>
  <c r="H305" i="1" l="1"/>
  <c r="I304" i="1"/>
  <c r="J304" i="1"/>
  <c r="D304" i="1"/>
  <c r="G304" i="1" s="1"/>
  <c r="I305" i="1" l="1"/>
  <c r="D305" i="1"/>
  <c r="G305" i="1" s="1"/>
  <c r="H306" i="1"/>
  <c r="J305" i="1"/>
  <c r="D306" i="1" l="1"/>
  <c r="G306" i="1" s="1"/>
  <c r="H307" i="1"/>
  <c r="I306" i="1"/>
  <c r="J306" i="1"/>
  <c r="D307" i="1" l="1"/>
  <c r="G307" i="1" s="1"/>
  <c r="H308" i="1"/>
  <c r="I307" i="1"/>
  <c r="J307" i="1"/>
  <c r="I308" i="1" l="1"/>
  <c r="D308" i="1"/>
  <c r="G308" i="1" s="1"/>
  <c r="H309" i="1"/>
  <c r="J308" i="1"/>
  <c r="D309" i="1" l="1"/>
  <c r="G309" i="1" s="1"/>
  <c r="I309" i="1"/>
  <c r="J309" i="1"/>
  <c r="H310" i="1"/>
  <c r="I310" i="1" l="1"/>
  <c r="H311" i="1"/>
  <c r="J310" i="1"/>
  <c r="D310" i="1" l="1"/>
  <c r="G310" i="1" s="1"/>
  <c r="J311" i="1"/>
  <c r="I311" i="1"/>
  <c r="D311" i="1"/>
  <c r="G311" i="1" s="1"/>
  <c r="H312" i="1"/>
  <c r="D312" i="1" l="1"/>
  <c r="G312" i="1" s="1"/>
  <c r="J312" i="1"/>
  <c r="H313" i="1"/>
  <c r="I312" i="1"/>
  <c r="D313" i="1" l="1"/>
  <c r="G313" i="1" s="1"/>
  <c r="H314" i="1"/>
  <c r="I313" i="1"/>
  <c r="J313" i="1"/>
  <c r="H315" i="1" l="1"/>
  <c r="D314" i="1"/>
  <c r="G314" i="1" s="1"/>
  <c r="I314" i="1"/>
  <c r="J314" i="1"/>
  <c r="H316" i="1" l="1"/>
  <c r="I315" i="1"/>
  <c r="D315" i="1"/>
  <c r="G315" i="1" s="1"/>
  <c r="J315" i="1"/>
  <c r="I316" i="1" l="1"/>
  <c r="H317" i="1"/>
  <c r="J316" i="1"/>
  <c r="D316" i="1"/>
  <c r="G316" i="1" s="1"/>
  <c r="J317" i="1" l="1"/>
  <c r="H318" i="1"/>
  <c r="I317" i="1"/>
  <c r="D317" i="1"/>
  <c r="G317" i="1" s="1"/>
  <c r="H319" i="1" l="1"/>
  <c r="I318" i="1"/>
  <c r="D318" i="1"/>
  <c r="G318" i="1" s="1"/>
  <c r="J318" i="1"/>
  <c r="D319" i="1" l="1"/>
  <c r="G319" i="1" s="1"/>
  <c r="I319" i="1"/>
  <c r="H320" i="1"/>
  <c r="J319" i="1"/>
  <c r="J320" i="1" l="1"/>
  <c r="D320" i="1"/>
  <c r="G320" i="1" s="1"/>
  <c r="H321" i="1"/>
  <c r="I320" i="1"/>
  <c r="J321" i="1" l="1"/>
  <c r="D321" i="1"/>
  <c r="G321" i="1" s="1"/>
  <c r="I321" i="1"/>
  <c r="H322" i="1"/>
  <c r="I322" i="1" l="1"/>
  <c r="D322" i="1"/>
  <c r="G322" i="1" s="1"/>
  <c r="H323" i="1"/>
  <c r="J322" i="1"/>
  <c r="I323" i="1" l="1"/>
  <c r="J323" i="1"/>
  <c r="D323" i="1"/>
  <c r="G323" i="1" s="1"/>
  <c r="H324" i="1"/>
  <c r="D324" i="1" l="1"/>
  <c r="G324" i="1" s="1"/>
  <c r="J324" i="1"/>
  <c r="H325" i="1"/>
  <c r="I324" i="1"/>
  <c r="H326" i="1" l="1"/>
  <c r="I325" i="1"/>
  <c r="D325" i="1"/>
  <c r="G325" i="1" s="1"/>
  <c r="J325" i="1"/>
  <c r="I326" i="1" l="1"/>
  <c r="D326" i="1"/>
  <c r="G326" i="1" s="1"/>
  <c r="H327" i="1"/>
  <c r="J326" i="1"/>
  <c r="H328" i="1" l="1"/>
  <c r="D327" i="1"/>
  <c r="G327" i="1" s="1"/>
  <c r="I327" i="1"/>
  <c r="J327" i="1"/>
  <c r="J328" i="1" l="1"/>
  <c r="H329" i="1"/>
  <c r="I328" i="1"/>
  <c r="D328" i="1" l="1"/>
  <c r="G328" i="1" s="1"/>
  <c r="H330" i="1"/>
  <c r="I329" i="1"/>
  <c r="J329" i="1"/>
  <c r="D329" i="1"/>
  <c r="G329" i="1" s="1"/>
  <c r="D330" i="1" l="1"/>
  <c r="G330" i="1" s="1"/>
  <c r="J330" i="1"/>
  <c r="I330" i="1"/>
  <c r="H331" i="1"/>
  <c r="D331" i="1" l="1"/>
  <c r="G331" i="1" s="1"/>
  <c r="H332" i="1"/>
  <c r="I331" i="1"/>
  <c r="J331" i="1"/>
  <c r="D332" i="1" l="1"/>
  <c r="G332" i="1" s="1"/>
  <c r="H333" i="1"/>
  <c r="J332" i="1"/>
  <c r="I332" i="1"/>
  <c r="D333" i="1" l="1"/>
  <c r="G333" i="1" s="1"/>
  <c r="J333" i="1"/>
  <c r="H334" i="1"/>
  <c r="I333" i="1"/>
  <c r="D334" i="1" l="1"/>
  <c r="G334" i="1" s="1"/>
  <c r="H335" i="1"/>
  <c r="I334" i="1"/>
  <c r="J334" i="1"/>
  <c r="I335" i="1" l="1"/>
  <c r="J335" i="1"/>
  <c r="H336" i="1"/>
  <c r="D335" i="1"/>
  <c r="G335" i="1" s="1"/>
  <c r="H337" i="1" l="1"/>
  <c r="J336" i="1"/>
  <c r="I336" i="1"/>
  <c r="I337" i="1" l="1"/>
  <c r="J337" i="1"/>
  <c r="H338" i="1"/>
  <c r="D337" i="1"/>
  <c r="G337" i="1" s="1"/>
  <c r="D336" i="1"/>
  <c r="G336" i="1" s="1"/>
  <c r="J338" i="1" l="1"/>
  <c r="D338" i="1"/>
  <c r="G338" i="1" s="1"/>
  <c r="H339" i="1"/>
  <c r="I338" i="1"/>
  <c r="I339" i="1" l="1"/>
  <c r="D339" i="1"/>
  <c r="G339" i="1" s="1"/>
  <c r="J339" i="1"/>
  <c r="H340" i="1"/>
  <c r="D340" i="1" l="1"/>
  <c r="G340" i="1" s="1"/>
  <c r="J340" i="1"/>
  <c r="H341" i="1"/>
  <c r="I340" i="1"/>
  <c r="H342" i="1" l="1"/>
  <c r="I341" i="1"/>
  <c r="D341" i="1"/>
  <c r="G341" i="1" s="1"/>
  <c r="J341" i="1"/>
  <c r="I342" i="1" l="1"/>
  <c r="H343" i="1"/>
  <c r="J342" i="1"/>
  <c r="D342" i="1" l="1"/>
  <c r="G342" i="1" s="1"/>
  <c r="D343" i="1"/>
  <c r="G343" i="1" s="1"/>
  <c r="J343" i="1"/>
  <c r="I343" i="1"/>
  <c r="H344" i="1"/>
  <c r="D344" i="1" l="1"/>
  <c r="G344" i="1" s="1"/>
  <c r="I344" i="1"/>
  <c r="H345" i="1"/>
  <c r="J344" i="1"/>
  <c r="D345" i="1" l="1"/>
  <c r="G345" i="1" s="1"/>
  <c r="I345" i="1"/>
  <c r="H346" i="1"/>
  <c r="J345" i="1"/>
  <c r="H347" i="1" l="1"/>
  <c r="J346" i="1"/>
  <c r="D346" i="1"/>
  <c r="G346" i="1" s="1"/>
  <c r="I346" i="1"/>
  <c r="I347" i="1" l="1"/>
  <c r="D347" i="1"/>
  <c r="G347" i="1" s="1"/>
  <c r="H348" i="1"/>
  <c r="J347" i="1"/>
  <c r="D348" i="1" l="1"/>
  <c r="G348" i="1" s="1"/>
  <c r="J348" i="1"/>
  <c r="H349" i="1"/>
  <c r="I348" i="1"/>
  <c r="D349" i="1" l="1"/>
  <c r="G349" i="1" s="1"/>
  <c r="I349" i="1"/>
  <c r="J349" i="1"/>
  <c r="H350" i="1"/>
  <c r="I350" i="1" l="1"/>
  <c r="J350" i="1"/>
  <c r="D350" i="1"/>
  <c r="G350" i="1" s="1"/>
  <c r="H351" i="1"/>
  <c r="J351" i="1" l="1"/>
  <c r="I351" i="1"/>
  <c r="D351" i="1"/>
  <c r="G351" i="1" s="1"/>
  <c r="H352" i="1"/>
  <c r="J352" i="1" l="1"/>
  <c r="D352" i="1"/>
  <c r="G352" i="1" s="1"/>
  <c r="H353" i="1"/>
  <c r="I352" i="1"/>
  <c r="D353" i="1" l="1"/>
  <c r="G353" i="1" s="1"/>
  <c r="I353" i="1"/>
  <c r="H354" i="1"/>
  <c r="J353" i="1"/>
  <c r="D354" i="1" l="1"/>
  <c r="G354" i="1" s="1"/>
  <c r="J354" i="1"/>
  <c r="H355" i="1"/>
  <c r="I354" i="1"/>
  <c r="J355" i="1" l="1"/>
  <c r="I355" i="1"/>
  <c r="H356" i="1"/>
  <c r="D355" i="1"/>
  <c r="G355" i="1" s="1"/>
  <c r="D356" i="1" l="1"/>
  <c r="G356" i="1" s="1"/>
  <c r="J356" i="1"/>
  <c r="H357" i="1"/>
  <c r="I356" i="1"/>
  <c r="D357" i="1" l="1"/>
  <c r="G357" i="1" s="1"/>
  <c r="J357" i="1"/>
  <c r="H358" i="1"/>
  <c r="I357" i="1"/>
  <c r="J358" i="1" l="1"/>
  <c r="D358" i="1"/>
  <c r="G358" i="1" s="1"/>
  <c r="H359" i="1"/>
  <c r="I358" i="1"/>
  <c r="H360" i="1" l="1"/>
  <c r="D359" i="1"/>
  <c r="G359" i="1" s="1"/>
  <c r="I359" i="1"/>
  <c r="J359" i="1"/>
  <c r="H361" i="1" l="1"/>
  <c r="J360" i="1"/>
  <c r="I360" i="1"/>
  <c r="D360" i="1"/>
  <c r="G360" i="1" s="1"/>
  <c r="H362" i="1" l="1"/>
  <c r="I361" i="1"/>
  <c r="J361" i="1"/>
  <c r="D361" i="1"/>
  <c r="G361" i="1" s="1"/>
  <c r="I362" i="1" l="1"/>
  <c r="H363" i="1"/>
  <c r="D362" i="1"/>
  <c r="G362" i="1" s="1"/>
  <c r="J362" i="1"/>
  <c r="H364" i="1" l="1"/>
  <c r="D363" i="1"/>
  <c r="G363" i="1" s="1"/>
  <c r="J363" i="1"/>
  <c r="I363" i="1"/>
  <c r="H365" i="1" l="1"/>
  <c r="I364" i="1"/>
  <c r="J364" i="1"/>
  <c r="H366" i="1" l="1"/>
  <c r="I365" i="1"/>
  <c r="D365" i="1"/>
  <c r="G365" i="1" s="1"/>
  <c r="J365" i="1"/>
  <c r="D364" i="1"/>
  <c r="G364" i="1" s="1"/>
  <c r="I366" i="1" l="1"/>
  <c r="H367" i="1"/>
  <c r="D366" i="1"/>
  <c r="G366" i="1" s="1"/>
  <c r="J366" i="1"/>
  <c r="D367" i="1" l="1"/>
  <c r="G367" i="1" s="1"/>
  <c r="H368" i="1"/>
  <c r="J367" i="1"/>
  <c r="I367" i="1"/>
  <c r="J368" i="1" l="1"/>
  <c r="H369" i="1"/>
  <c r="I368" i="1"/>
  <c r="D368" i="1"/>
  <c r="G368" i="1" s="1"/>
  <c r="I369" i="1" l="1"/>
  <c r="J369" i="1"/>
  <c r="H370" i="1"/>
  <c r="D369" i="1"/>
  <c r="G369" i="1" s="1"/>
  <c r="I370" i="1" l="1"/>
  <c r="J370" i="1"/>
  <c r="D370" i="1"/>
  <c r="G370" i="1" s="1"/>
  <c r="H371" i="1"/>
  <c r="J371" i="1" l="1"/>
  <c r="D371" i="1"/>
  <c r="G371" i="1" s="1"/>
  <c r="H372" i="1"/>
  <c r="I371" i="1"/>
  <c r="D372" i="1" l="1"/>
  <c r="G372" i="1" s="1"/>
  <c r="I372" i="1"/>
  <c r="J372" i="1"/>
  <c r="H373" i="1"/>
  <c r="D373" i="1" l="1"/>
  <c r="G373" i="1" s="1"/>
  <c r="I373" i="1"/>
  <c r="H374" i="1"/>
  <c r="J373" i="1"/>
  <c r="H375" i="1" l="1"/>
  <c r="D374" i="1"/>
  <c r="G374" i="1" s="1"/>
  <c r="I374" i="1"/>
  <c r="J374" i="1"/>
  <c r="H376" i="1" l="1"/>
  <c r="I375" i="1"/>
  <c r="J375" i="1"/>
  <c r="D375" i="1"/>
  <c r="G375" i="1" s="1"/>
  <c r="I376" i="1" l="1"/>
  <c r="H377" i="1"/>
  <c r="D376" i="1"/>
  <c r="G376" i="1" s="1"/>
  <c r="J376" i="1"/>
  <c r="H378" i="1" l="1"/>
  <c r="J377" i="1"/>
  <c r="D377" i="1"/>
  <c r="G377" i="1" s="1"/>
  <c r="I377" i="1"/>
  <c r="D378" i="1" l="1"/>
  <c r="G378" i="1" s="1"/>
  <c r="H379" i="1"/>
  <c r="J378" i="1"/>
  <c r="I378" i="1"/>
  <c r="D379" i="1" l="1"/>
  <c r="G379" i="1" s="1"/>
  <c r="J379" i="1"/>
  <c r="H380" i="1"/>
  <c r="I379" i="1"/>
  <c r="I380" i="1" l="1"/>
  <c r="J380" i="1"/>
  <c r="D380" i="1"/>
  <c r="G380" i="1" s="1"/>
  <c r="H381" i="1"/>
  <c r="H382" i="1" l="1"/>
  <c r="I381" i="1"/>
  <c r="D381" i="1"/>
  <c r="G381" i="1" s="1"/>
  <c r="J381" i="1"/>
  <c r="H383" i="1" l="1"/>
  <c r="I382" i="1"/>
  <c r="J382" i="1"/>
  <c r="D382" i="1"/>
  <c r="G382" i="1" s="1"/>
  <c r="I383" i="1" l="1"/>
  <c r="H384" i="1"/>
  <c r="J383" i="1"/>
  <c r="D383" i="1"/>
  <c r="G383" i="1" s="1"/>
  <c r="D384" i="1" l="1"/>
  <c r="G384" i="1" s="1"/>
  <c r="H385" i="1"/>
  <c r="I384" i="1"/>
  <c r="J384" i="1"/>
  <c r="H386" i="1" l="1"/>
  <c r="D385" i="1"/>
  <c r="G385" i="1" s="1"/>
  <c r="I385" i="1"/>
  <c r="J385" i="1"/>
  <c r="D386" i="1" l="1"/>
  <c r="G386" i="1" s="1"/>
  <c r="H387" i="1"/>
  <c r="J386" i="1"/>
  <c r="I386" i="1"/>
  <c r="I387" i="1" l="1"/>
  <c r="J387" i="1"/>
  <c r="D387" i="1"/>
  <c r="G387" i="1" s="1"/>
  <c r="H388" i="1"/>
  <c r="H389" i="1" l="1"/>
  <c r="I388" i="1"/>
  <c r="J388" i="1"/>
  <c r="D388" i="1"/>
  <c r="G388" i="1" s="1"/>
  <c r="I389" i="1" l="1"/>
  <c r="D389" i="1"/>
  <c r="G389" i="1" s="1"/>
  <c r="J389" i="1"/>
  <c r="H390" i="1"/>
  <c r="D390" i="1" l="1"/>
  <c r="G390" i="1" s="1"/>
  <c r="I390" i="1"/>
  <c r="H391" i="1"/>
  <c r="J390" i="1"/>
  <c r="J391" i="1" l="1"/>
  <c r="H392" i="1"/>
  <c r="I391" i="1"/>
  <c r="D391" i="1"/>
  <c r="G391" i="1" s="1"/>
  <c r="J392" i="1" l="1"/>
  <c r="H393" i="1"/>
  <c r="I392" i="1"/>
  <c r="D392" i="1"/>
  <c r="G392" i="1" s="1"/>
  <c r="I393" i="1" l="1"/>
  <c r="J393" i="1"/>
  <c r="D393" i="1"/>
  <c r="G393" i="1" s="1"/>
  <c r="H394" i="1"/>
  <c r="H395" i="1" l="1"/>
  <c r="J394" i="1"/>
  <c r="I394" i="1"/>
  <c r="D394" i="1"/>
  <c r="G394" i="1" s="1"/>
  <c r="D395" i="1" l="1"/>
  <c r="G395" i="1" s="1"/>
  <c r="J395" i="1"/>
  <c r="H396" i="1"/>
  <c r="I395" i="1"/>
  <c r="H397" i="1" l="1"/>
  <c r="J396" i="1"/>
  <c r="I396" i="1"/>
  <c r="D396" i="1"/>
  <c r="G396" i="1" s="1"/>
  <c r="J397" i="1" l="1"/>
  <c r="H398" i="1"/>
  <c r="I397" i="1"/>
  <c r="D397" i="1"/>
  <c r="G397" i="1" s="1"/>
  <c r="I398" i="1" l="1"/>
  <c r="D398" i="1"/>
  <c r="G398" i="1" s="1"/>
  <c r="H399" i="1"/>
  <c r="J398" i="1"/>
  <c r="H400" i="1" l="1"/>
  <c r="D399" i="1"/>
  <c r="G399" i="1" s="1"/>
  <c r="I399" i="1"/>
  <c r="J399" i="1"/>
  <c r="D400" i="1" l="1"/>
  <c r="G400" i="1" s="1"/>
  <c r="H401" i="1"/>
  <c r="J400" i="1"/>
  <c r="I400" i="1"/>
  <c r="H402" i="1" l="1"/>
  <c r="D401" i="1"/>
  <c r="G401" i="1" s="1"/>
  <c r="J401" i="1"/>
  <c r="I401" i="1"/>
  <c r="D402" i="1" l="1"/>
  <c r="G402" i="1" s="1"/>
  <c r="J402" i="1"/>
  <c r="I402" i="1"/>
  <c r="H403" i="1"/>
  <c r="H404" i="1" l="1"/>
  <c r="J403" i="1"/>
  <c r="D403" i="1"/>
  <c r="G403" i="1" s="1"/>
  <c r="I403" i="1"/>
  <c r="H405" i="1" l="1"/>
  <c r="J404" i="1"/>
  <c r="I404" i="1"/>
  <c r="D404" i="1"/>
  <c r="G404" i="1" s="1"/>
  <c r="H406" i="1" l="1"/>
  <c r="J405" i="1"/>
  <c r="I405" i="1"/>
  <c r="D405" i="1"/>
  <c r="G405" i="1" s="1"/>
  <c r="J406" i="1" l="1"/>
  <c r="D406" i="1"/>
  <c r="G406" i="1" s="1"/>
  <c r="H407" i="1"/>
  <c r="I406" i="1"/>
  <c r="H408" i="1" l="1"/>
  <c r="J407" i="1"/>
  <c r="D407" i="1"/>
  <c r="G407" i="1" s="1"/>
  <c r="I407" i="1"/>
  <c r="D408" i="1" l="1"/>
  <c r="G408" i="1" s="1"/>
  <c r="I408" i="1"/>
  <c r="H409" i="1"/>
  <c r="J408" i="1"/>
  <c r="H410" i="1" l="1"/>
  <c r="J409" i="1"/>
  <c r="I409" i="1"/>
  <c r="D409" i="1"/>
  <c r="G409" i="1" s="1"/>
  <c r="D410" i="1" l="1"/>
  <c r="G410" i="1" s="1"/>
  <c r="H411" i="1"/>
  <c r="I410" i="1"/>
  <c r="J410" i="1"/>
  <c r="I411" i="1" l="1"/>
  <c r="J411" i="1"/>
  <c r="H412" i="1"/>
  <c r="D411" i="1" l="1"/>
  <c r="G411" i="1" s="1"/>
  <c r="H413" i="1"/>
  <c r="J412" i="1"/>
  <c r="D412" i="1"/>
  <c r="G412" i="1" s="1"/>
  <c r="I412" i="1"/>
  <c r="I413" i="1" l="1"/>
  <c r="H414" i="1"/>
  <c r="J413" i="1"/>
  <c r="D413" i="1"/>
  <c r="G413" i="1" s="1"/>
  <c r="I414" i="1" l="1"/>
  <c r="H415" i="1"/>
  <c r="D414" i="1"/>
  <c r="G414" i="1" s="1"/>
  <c r="J414" i="1"/>
  <c r="I415" i="1" l="1"/>
  <c r="H416" i="1"/>
  <c r="J415" i="1"/>
  <c r="D415" i="1"/>
  <c r="G415" i="1" s="1"/>
  <c r="J416" i="1" l="1"/>
  <c r="I416" i="1"/>
  <c r="D416" i="1"/>
  <c r="G416" i="1" s="1"/>
  <c r="H417" i="1"/>
  <c r="D417" i="1" l="1"/>
  <c r="G417" i="1" s="1"/>
  <c r="J417" i="1"/>
  <c r="H418" i="1"/>
  <c r="I417" i="1"/>
  <c r="H419" i="1" l="1"/>
  <c r="J418" i="1"/>
  <c r="D418" i="1"/>
  <c r="G418" i="1" s="1"/>
  <c r="I418" i="1"/>
  <c r="I419" i="1" l="1"/>
  <c r="D419" i="1"/>
  <c r="G419" i="1" s="1"/>
  <c r="H420" i="1"/>
  <c r="J419" i="1"/>
  <c r="J420" i="1" l="1"/>
  <c r="D420" i="1"/>
  <c r="G420" i="1" s="1"/>
  <c r="I420" i="1"/>
  <c r="H421" i="1"/>
  <c r="H422" i="1" l="1"/>
  <c r="J421" i="1"/>
  <c r="D421" i="1"/>
  <c r="G421" i="1" s="1"/>
  <c r="I421" i="1"/>
  <c r="I422" i="1" l="1"/>
  <c r="H423" i="1"/>
  <c r="J422" i="1"/>
  <c r="I423" i="1" l="1"/>
  <c r="J423" i="1"/>
  <c r="D423" i="1"/>
  <c r="G423" i="1" s="1"/>
  <c r="H424" i="1"/>
  <c r="D422" i="1"/>
  <c r="G422" i="1" s="1"/>
  <c r="I424" i="1" l="1"/>
  <c r="D424" i="1"/>
  <c r="G424" i="1" s="1"/>
  <c r="J424" i="1"/>
  <c r="H425" i="1"/>
  <c r="I425" i="1" l="1"/>
  <c r="H426" i="1"/>
  <c r="J425" i="1"/>
  <c r="D425" i="1"/>
  <c r="G425" i="1" s="1"/>
  <c r="H427" i="1" l="1"/>
  <c r="J426" i="1"/>
  <c r="I426" i="1"/>
  <c r="D426" i="1"/>
  <c r="G426" i="1" s="1"/>
  <c r="I427" i="1" l="1"/>
  <c r="H428" i="1"/>
  <c r="D427" i="1"/>
  <c r="G427" i="1" s="1"/>
  <c r="J427" i="1"/>
  <c r="J428" i="1" l="1"/>
  <c r="D428" i="1"/>
  <c r="G428" i="1" s="1"/>
  <c r="H429" i="1"/>
  <c r="I428" i="1"/>
  <c r="I429" i="1" l="1"/>
  <c r="D429" i="1"/>
  <c r="G429" i="1" s="1"/>
  <c r="H430" i="1"/>
  <c r="J429" i="1"/>
  <c r="D430" i="1" l="1"/>
  <c r="G430" i="1" s="1"/>
  <c r="I430" i="1"/>
  <c r="J430" i="1"/>
  <c r="H431" i="1"/>
  <c r="D431" i="1" l="1"/>
  <c r="G431" i="1" s="1"/>
  <c r="I431" i="1"/>
  <c r="H432" i="1"/>
  <c r="J431" i="1"/>
  <c r="J432" i="1" l="1"/>
  <c r="D432" i="1"/>
  <c r="G432" i="1" s="1"/>
  <c r="H433" i="1"/>
  <c r="I432" i="1"/>
  <c r="I433" i="1" l="1"/>
  <c r="H434" i="1"/>
  <c r="J433" i="1"/>
  <c r="D433" i="1"/>
  <c r="G433" i="1" s="1"/>
  <c r="J434" i="1" l="1"/>
  <c r="D434" i="1"/>
  <c r="G434" i="1" s="1"/>
  <c r="H435" i="1"/>
  <c r="I434" i="1"/>
  <c r="I435" i="1" l="1"/>
  <c r="J435" i="1"/>
  <c r="H436" i="1"/>
  <c r="D435" i="1" l="1"/>
  <c r="G435" i="1" s="1"/>
  <c r="I436" i="1"/>
  <c r="H437" i="1"/>
  <c r="J436" i="1"/>
  <c r="H438" i="1" l="1"/>
  <c r="J437" i="1"/>
  <c r="D437" i="1"/>
  <c r="G437" i="1" s="1"/>
  <c r="I437" i="1"/>
  <c r="D436" i="1"/>
  <c r="G436" i="1" s="1"/>
  <c r="H439" i="1" l="1"/>
  <c r="D438" i="1"/>
  <c r="G438" i="1" s="1"/>
  <c r="J438" i="1"/>
  <c r="I438" i="1"/>
  <c r="J439" i="1" l="1"/>
  <c r="H440" i="1"/>
  <c r="I439" i="1"/>
  <c r="D439" i="1"/>
  <c r="G439" i="1" s="1"/>
  <c r="D440" i="1" l="1"/>
  <c r="G440" i="1" s="1"/>
  <c r="H441" i="1"/>
  <c r="J440" i="1"/>
  <c r="I440" i="1"/>
  <c r="I441" i="1" l="1"/>
  <c r="D441" i="1"/>
  <c r="G441" i="1" s="1"/>
  <c r="H442" i="1"/>
  <c r="J441" i="1"/>
  <c r="D442" i="1" l="1"/>
  <c r="G442" i="1" s="1"/>
  <c r="H443" i="1"/>
  <c r="J442" i="1"/>
  <c r="I442" i="1"/>
  <c r="J443" i="1" l="1"/>
  <c r="H444" i="1"/>
  <c r="D443" i="1"/>
  <c r="G443" i="1" s="1"/>
  <c r="I443" i="1"/>
  <c r="I444" i="1" l="1"/>
  <c r="J444" i="1"/>
  <c r="H445" i="1"/>
  <c r="D444" i="1"/>
  <c r="G444" i="1" s="1"/>
  <c r="H446" i="1" l="1"/>
  <c r="D445" i="1"/>
  <c r="G445" i="1" s="1"/>
  <c r="J445" i="1"/>
  <c r="I445" i="1"/>
  <c r="H447" i="1" l="1"/>
  <c r="J446" i="1"/>
  <c r="I446" i="1"/>
  <c r="D446" i="1" l="1"/>
  <c r="G446" i="1" s="1"/>
  <c r="J447" i="1"/>
  <c r="H448" i="1"/>
  <c r="I447" i="1"/>
  <c r="D447" i="1"/>
  <c r="G447" i="1" s="1"/>
  <c r="H449" i="1" l="1"/>
  <c r="J448" i="1"/>
  <c r="I448" i="1"/>
  <c r="D448" i="1"/>
  <c r="G448" i="1" s="1"/>
  <c r="D449" i="1" l="1"/>
  <c r="G449" i="1" s="1"/>
  <c r="H450" i="1"/>
  <c r="J449" i="1"/>
  <c r="I449" i="1"/>
  <c r="H451" i="1" l="1"/>
  <c r="D450" i="1"/>
  <c r="G450" i="1" s="1"/>
  <c r="J450" i="1"/>
  <c r="I450" i="1"/>
  <c r="D451" i="1" l="1"/>
  <c r="G451" i="1" s="1"/>
  <c r="I451" i="1"/>
  <c r="H452" i="1"/>
  <c r="J451" i="1"/>
  <c r="I452" i="1" l="1"/>
  <c r="H453" i="1"/>
  <c r="D452" i="1"/>
  <c r="G452" i="1" s="1"/>
  <c r="J452" i="1"/>
  <c r="H454" i="1" l="1"/>
  <c r="D453" i="1"/>
  <c r="G453" i="1" s="1"/>
  <c r="I453" i="1"/>
  <c r="J453" i="1"/>
  <c r="I454" i="1" l="1"/>
  <c r="D454" i="1"/>
  <c r="G454" i="1" s="1"/>
  <c r="H455" i="1"/>
  <c r="J454" i="1"/>
  <c r="D455" i="1" l="1"/>
  <c r="G455" i="1" s="1"/>
  <c r="H456" i="1"/>
  <c r="I455" i="1"/>
  <c r="J455" i="1"/>
  <c r="I456" i="1" l="1"/>
  <c r="J456" i="1"/>
  <c r="H457" i="1"/>
  <c r="D456" i="1"/>
  <c r="G456" i="1" s="1"/>
  <c r="H458" i="1" l="1"/>
  <c r="D457" i="1"/>
  <c r="G457" i="1" s="1"/>
  <c r="J457" i="1"/>
  <c r="I457" i="1"/>
  <c r="J458" i="1" l="1"/>
  <c r="D458" i="1"/>
  <c r="G458" i="1" s="1"/>
  <c r="I458" i="1"/>
  <c r="H459" i="1"/>
  <c r="J459" i="1" l="1"/>
  <c r="H460" i="1"/>
  <c r="D459" i="1"/>
  <c r="G459" i="1" s="1"/>
  <c r="I459" i="1"/>
  <c r="D460" i="1" l="1"/>
  <c r="G460" i="1" s="1"/>
  <c r="I460" i="1"/>
  <c r="J460" i="1"/>
  <c r="H461" i="1"/>
  <c r="D461" i="1" l="1"/>
  <c r="G461" i="1" s="1"/>
  <c r="I461" i="1"/>
  <c r="H462" i="1"/>
  <c r="J461" i="1"/>
  <c r="J462" i="1" l="1"/>
  <c r="D462" i="1"/>
  <c r="G462" i="1" s="1"/>
  <c r="H463" i="1"/>
  <c r="I462" i="1"/>
  <c r="H464" i="1" l="1"/>
  <c r="D463" i="1"/>
  <c r="G463" i="1" s="1"/>
  <c r="I463" i="1"/>
  <c r="J463" i="1"/>
  <c r="H465" i="1" l="1"/>
  <c r="J464" i="1"/>
  <c r="D464" i="1"/>
  <c r="G464" i="1" s="1"/>
  <c r="I464" i="1"/>
  <c r="I465" i="1" l="1"/>
  <c r="D465" i="1"/>
  <c r="G465" i="1" s="1"/>
  <c r="H466" i="1"/>
  <c r="J465" i="1"/>
  <c r="J466" i="1" l="1"/>
  <c r="D466" i="1"/>
  <c r="G466" i="1" s="1"/>
  <c r="I466" i="1"/>
  <c r="H467" i="1"/>
  <c r="J467" i="1" l="1"/>
  <c r="D467" i="1"/>
  <c r="G467" i="1" s="1"/>
  <c r="H468" i="1"/>
  <c r="I467" i="1"/>
  <c r="D468" i="1" l="1"/>
  <c r="G468" i="1" s="1"/>
  <c r="I468" i="1"/>
  <c r="J468" i="1"/>
  <c r="H469" i="1"/>
  <c r="D469" i="1" l="1"/>
  <c r="G469" i="1" s="1"/>
  <c r="I469" i="1"/>
  <c r="H470" i="1"/>
  <c r="J469" i="1"/>
  <c r="H471" i="1" l="1"/>
  <c r="I470" i="1"/>
  <c r="J470" i="1"/>
  <c r="D470" i="1"/>
  <c r="G470" i="1" s="1"/>
  <c r="H472" i="1" l="1"/>
  <c r="J471" i="1"/>
  <c r="I471" i="1"/>
  <c r="D471" i="1"/>
  <c r="G471" i="1" s="1"/>
  <c r="H473" i="1" l="1"/>
  <c r="D472" i="1"/>
  <c r="G472" i="1" s="1"/>
  <c r="I472" i="1"/>
  <c r="J472" i="1"/>
  <c r="H474" i="1" l="1"/>
  <c r="J473" i="1"/>
  <c r="I473" i="1"/>
  <c r="D473" i="1"/>
  <c r="G473" i="1" s="1"/>
  <c r="D474" i="1" l="1"/>
  <c r="G474" i="1" s="1"/>
  <c r="I474" i="1"/>
  <c r="J474" i="1"/>
  <c r="H475" i="1"/>
  <c r="H476" i="1" l="1"/>
  <c r="J475" i="1"/>
  <c r="I475" i="1"/>
  <c r="D475" i="1"/>
  <c r="G475" i="1" s="1"/>
  <c r="D476" i="1" l="1"/>
  <c r="G476" i="1" s="1"/>
  <c r="J476" i="1"/>
  <c r="I476" i="1"/>
  <c r="H477" i="1"/>
  <c r="H478" i="1" l="1"/>
  <c r="J477" i="1"/>
  <c r="I477" i="1"/>
  <c r="D477" i="1"/>
  <c r="G477" i="1" s="1"/>
  <c r="I478" i="1" l="1"/>
  <c r="J478" i="1"/>
  <c r="D478" i="1"/>
  <c r="G478" i="1" s="1"/>
  <c r="H479" i="1"/>
  <c r="H480" i="1" l="1"/>
  <c r="I479" i="1"/>
  <c r="D479" i="1"/>
  <c r="G479" i="1" s="1"/>
  <c r="J479" i="1"/>
  <c r="J480" i="1" l="1"/>
  <c r="H481" i="1"/>
  <c r="I480" i="1"/>
  <c r="D480" i="1"/>
  <c r="G480" i="1" s="1"/>
  <c r="I481" i="1" l="1"/>
  <c r="H482" i="1"/>
  <c r="J481" i="1"/>
  <c r="D481" i="1"/>
  <c r="G481" i="1" s="1"/>
  <c r="I482" i="1" l="1"/>
  <c r="J482" i="1"/>
  <c r="D482" i="1"/>
  <c r="G482" i="1" s="1"/>
  <c r="H483" i="1"/>
  <c r="I483" i="1" l="1"/>
  <c r="D483" i="1"/>
  <c r="G483" i="1" s="1"/>
  <c r="J483" i="1"/>
  <c r="H484" i="1"/>
  <c r="H485" i="1" l="1"/>
  <c r="I484" i="1"/>
  <c r="J484" i="1"/>
  <c r="D484" i="1"/>
  <c r="G484" i="1" s="1"/>
  <c r="H486" i="1" l="1"/>
  <c r="J485" i="1"/>
  <c r="D485" i="1"/>
  <c r="G485" i="1" s="1"/>
  <c r="I485" i="1"/>
  <c r="D486" i="1" l="1"/>
  <c r="G486" i="1" s="1"/>
  <c r="I486" i="1"/>
  <c r="J486" i="1"/>
  <c r="H487" i="1"/>
  <c r="H488" i="1" l="1"/>
  <c r="J487" i="1"/>
  <c r="I487" i="1"/>
  <c r="D487" i="1"/>
  <c r="G487" i="1" s="1"/>
  <c r="H489" i="1" l="1"/>
  <c r="D488" i="1"/>
  <c r="G488" i="1" s="1"/>
  <c r="I488" i="1"/>
  <c r="J488" i="1"/>
  <c r="J489" i="1" l="1"/>
  <c r="D489" i="1"/>
  <c r="G489" i="1" s="1"/>
  <c r="H490" i="1"/>
  <c r="I489" i="1"/>
  <c r="D490" i="1" l="1"/>
  <c r="G490" i="1" s="1"/>
  <c r="J490" i="1"/>
  <c r="H491" i="1"/>
  <c r="I490" i="1"/>
  <c r="H492" i="1" l="1"/>
  <c r="I491" i="1"/>
  <c r="J491" i="1"/>
  <c r="D492" i="1" l="1"/>
  <c r="G492" i="1" s="1"/>
  <c r="J492" i="1"/>
  <c r="H493" i="1"/>
  <c r="I492" i="1"/>
  <c r="D491" i="1"/>
  <c r="G491" i="1" s="1"/>
  <c r="H494" i="1" l="1"/>
  <c r="J493" i="1"/>
  <c r="D493" i="1"/>
  <c r="G493" i="1" s="1"/>
  <c r="I493" i="1"/>
  <c r="D494" i="1" l="1"/>
  <c r="G494" i="1" s="1"/>
  <c r="I494" i="1"/>
  <c r="H495" i="1"/>
  <c r="J494" i="1"/>
  <c r="D495" i="1" l="1"/>
  <c r="G495" i="1" s="1"/>
  <c r="I495" i="1"/>
  <c r="H496" i="1"/>
  <c r="J495" i="1"/>
  <c r="H497" i="1" l="1"/>
  <c r="J496" i="1"/>
  <c r="D496" i="1"/>
  <c r="G496" i="1" s="1"/>
  <c r="I496" i="1"/>
  <c r="H498" i="1" l="1"/>
  <c r="J497" i="1"/>
  <c r="I497" i="1"/>
  <c r="D497" i="1"/>
  <c r="G497" i="1" s="1"/>
  <c r="I498" i="1" l="1"/>
  <c r="H499" i="1"/>
  <c r="J498" i="1"/>
  <c r="J499" i="1" l="1"/>
  <c r="D499" i="1"/>
  <c r="G499" i="1" s="1"/>
  <c r="I499" i="1"/>
  <c r="H500" i="1"/>
  <c r="D498" i="1"/>
  <c r="G498" i="1" s="1"/>
  <c r="D500" i="1" l="1"/>
  <c r="G500" i="1" s="1"/>
  <c r="I500" i="1"/>
  <c r="H501" i="1"/>
  <c r="J500" i="1"/>
  <c r="I501" i="1" l="1"/>
  <c r="H502" i="1"/>
  <c r="J501" i="1"/>
  <c r="D501" i="1"/>
  <c r="G501" i="1" s="1"/>
  <c r="J502" i="1" l="1"/>
  <c r="D502" i="1"/>
  <c r="G502" i="1" s="1"/>
  <c r="H503" i="1"/>
  <c r="I502" i="1"/>
  <c r="I503" i="1" l="1"/>
  <c r="D503" i="1"/>
  <c r="G503" i="1" s="1"/>
  <c r="H504" i="1"/>
  <c r="J503" i="1"/>
  <c r="H505" i="1" l="1"/>
  <c r="I504" i="1"/>
  <c r="J504" i="1"/>
  <c r="D504" i="1"/>
  <c r="G504" i="1" s="1"/>
  <c r="D505" i="1" l="1"/>
  <c r="G505" i="1" s="1"/>
  <c r="J505" i="1"/>
  <c r="I505" i="1"/>
  <c r="H506" i="1"/>
  <c r="I506" i="1" l="1"/>
  <c r="J506" i="1"/>
  <c r="H507" i="1"/>
  <c r="D506" i="1"/>
  <c r="G506" i="1" s="1"/>
  <c r="H508" i="1" l="1"/>
  <c r="D507" i="1"/>
  <c r="G507" i="1" s="1"/>
  <c r="J507" i="1"/>
  <c r="I507" i="1"/>
  <c r="I508" i="1" l="1"/>
  <c r="D508" i="1"/>
  <c r="G508" i="1" s="1"/>
  <c r="J508" i="1"/>
  <c r="H509" i="1"/>
  <c r="D509" i="1" l="1"/>
  <c r="G509" i="1" s="1"/>
  <c r="I509" i="1"/>
  <c r="H510" i="1"/>
  <c r="J509" i="1"/>
  <c r="H511" i="1" l="1"/>
  <c r="J510" i="1"/>
  <c r="D510" i="1"/>
  <c r="G510" i="1" s="1"/>
  <c r="I510" i="1"/>
  <c r="J511" i="1" l="1"/>
  <c r="I511" i="1"/>
  <c r="H512" i="1"/>
  <c r="D511" i="1"/>
  <c r="G511" i="1" s="1"/>
  <c r="I512" i="1" l="1"/>
  <c r="J512" i="1"/>
  <c r="D512" i="1"/>
  <c r="G512" i="1" s="1"/>
  <c r="H513" i="1"/>
  <c r="I513" i="1" l="1"/>
  <c r="H514" i="1"/>
  <c r="J513" i="1"/>
  <c r="D513" i="1"/>
  <c r="G513" i="1" s="1"/>
  <c r="I514" i="1" l="1"/>
  <c r="H515" i="1"/>
  <c r="J514" i="1"/>
  <c r="D514" i="1"/>
  <c r="G514" i="1" s="1"/>
  <c r="H516" i="1" l="1"/>
  <c r="I515" i="1"/>
  <c r="J515" i="1"/>
  <c r="D515" i="1"/>
  <c r="G515" i="1" s="1"/>
  <c r="D516" i="1" l="1"/>
  <c r="G516" i="1" s="1"/>
  <c r="J516" i="1"/>
  <c r="H517" i="1"/>
  <c r="I516" i="1"/>
  <c r="H518" i="1" l="1"/>
  <c r="D517" i="1"/>
  <c r="G517" i="1" s="1"/>
  <c r="I517" i="1"/>
  <c r="J517" i="1"/>
  <c r="H519" i="1" l="1"/>
  <c r="J518" i="1"/>
  <c r="D518" i="1"/>
  <c r="G518" i="1" s="1"/>
  <c r="I518" i="1"/>
  <c r="D519" i="1" l="1"/>
  <c r="G519" i="1" s="1"/>
  <c r="I519" i="1"/>
  <c r="J519" i="1"/>
  <c r="H520" i="1"/>
  <c r="J520" i="1" l="1"/>
  <c r="I520" i="1"/>
  <c r="D520" i="1"/>
  <c r="G520" i="1" s="1"/>
  <c r="H521" i="1"/>
  <c r="H522" i="1" l="1"/>
  <c r="D521" i="1"/>
  <c r="G521" i="1" s="1"/>
  <c r="J521" i="1"/>
  <c r="I521" i="1"/>
  <c r="D522" i="1" l="1"/>
  <c r="G522" i="1" s="1"/>
  <c r="I522" i="1"/>
  <c r="H523" i="1"/>
  <c r="J522" i="1"/>
  <c r="J523" i="1" l="1"/>
  <c r="D523" i="1"/>
  <c r="G523" i="1" s="1"/>
  <c r="I523" i="1"/>
  <c r="H524" i="1"/>
  <c r="H525" i="1" l="1"/>
  <c r="J524" i="1"/>
  <c r="D524" i="1"/>
  <c r="G524" i="1" s="1"/>
  <c r="I524" i="1"/>
  <c r="D525" i="1" l="1"/>
  <c r="G525" i="1" s="1"/>
  <c r="I525" i="1"/>
  <c r="H526" i="1"/>
  <c r="J525" i="1"/>
  <c r="J526" i="1" l="1"/>
  <c r="D526" i="1"/>
  <c r="G526" i="1" s="1"/>
  <c r="I526" i="1"/>
  <c r="H527" i="1"/>
  <c r="H528" i="1" l="1"/>
  <c r="D527" i="1"/>
  <c r="G527" i="1" s="1"/>
  <c r="J527" i="1"/>
  <c r="I527" i="1"/>
  <c r="D528" i="1" l="1"/>
  <c r="G528" i="1" s="1"/>
  <c r="H529" i="1"/>
  <c r="J528" i="1"/>
  <c r="I528" i="1"/>
  <c r="D529" i="1" l="1"/>
  <c r="G529" i="1" s="1"/>
  <c r="H530" i="1"/>
  <c r="J529" i="1"/>
  <c r="I529" i="1"/>
  <c r="H531" i="1" l="1"/>
  <c r="J530" i="1"/>
  <c r="I530" i="1"/>
  <c r="D530" i="1"/>
  <c r="G530" i="1" s="1"/>
  <c r="D531" i="1" l="1"/>
  <c r="G531" i="1" s="1"/>
  <c r="J531" i="1"/>
  <c r="I531" i="1"/>
  <c r="H532" i="1"/>
  <c r="J532" i="1" l="1"/>
  <c r="D532" i="1"/>
  <c r="G532" i="1" s="1"/>
  <c r="I532" i="1"/>
  <c r="H533" i="1"/>
  <c r="H534" i="1" l="1"/>
  <c r="I533" i="1"/>
  <c r="J533" i="1"/>
  <c r="D533" i="1"/>
  <c r="G533" i="1" s="1"/>
  <c r="I534" i="1" l="1"/>
  <c r="H535" i="1"/>
  <c r="D534" i="1"/>
  <c r="G534" i="1" s="1"/>
  <c r="J534" i="1"/>
  <c r="J535" i="1" l="1"/>
  <c r="D535" i="1"/>
  <c r="G535" i="1" s="1"/>
  <c r="H536" i="1"/>
  <c r="I535" i="1"/>
  <c r="D536" i="1" l="1"/>
  <c r="G536" i="1" s="1"/>
  <c r="H537" i="1"/>
  <c r="I536" i="1"/>
  <c r="J536" i="1"/>
  <c r="H538" i="1" l="1"/>
  <c r="I537" i="1"/>
  <c r="D537" i="1"/>
  <c r="G537" i="1" s="1"/>
  <c r="J537" i="1"/>
  <c r="J538" i="1" l="1"/>
  <c r="H539" i="1"/>
  <c r="D538" i="1"/>
  <c r="G538" i="1" s="1"/>
  <c r="I538" i="1"/>
  <c r="I539" i="1" l="1"/>
  <c r="J539" i="1"/>
  <c r="H540" i="1"/>
  <c r="D539" i="1"/>
  <c r="G539" i="1" s="1"/>
  <c r="D540" i="1" l="1"/>
  <c r="G540" i="1" s="1"/>
  <c r="I540" i="1"/>
  <c r="J540" i="1"/>
  <c r="H541" i="1"/>
  <c r="D541" i="1" l="1"/>
  <c r="G541" i="1" s="1"/>
  <c r="J541" i="1"/>
  <c r="I541" i="1"/>
  <c r="H542" i="1"/>
  <c r="D542" i="1" l="1"/>
  <c r="G542" i="1" s="1"/>
  <c r="H543" i="1"/>
  <c r="I542" i="1"/>
  <c r="J542" i="1"/>
  <c r="D543" i="1" l="1"/>
  <c r="G543" i="1" s="1"/>
  <c r="J543" i="1"/>
  <c r="I543" i="1"/>
  <c r="H544" i="1"/>
  <c r="I544" i="1" l="1"/>
  <c r="J544" i="1"/>
  <c r="D544" i="1"/>
  <c r="G544" i="1" s="1"/>
  <c r="H545" i="1"/>
  <c r="I545" i="1" l="1"/>
  <c r="J545" i="1"/>
  <c r="D545" i="1"/>
  <c r="G545" i="1" s="1"/>
  <c r="H546" i="1"/>
  <c r="I546" i="1" l="1"/>
  <c r="D546" i="1"/>
  <c r="G546" i="1" s="1"/>
  <c r="J546" i="1"/>
  <c r="H547" i="1"/>
  <c r="I547" i="1" l="1"/>
  <c r="J547" i="1"/>
  <c r="H548" i="1"/>
  <c r="D547" i="1"/>
  <c r="G547" i="1" s="1"/>
  <c r="H549" i="1" l="1"/>
  <c r="J548" i="1"/>
  <c r="I548" i="1"/>
  <c r="D548" i="1"/>
  <c r="G548" i="1" s="1"/>
  <c r="D549" i="1" l="1"/>
  <c r="G549" i="1" s="1"/>
  <c r="J549" i="1"/>
  <c r="H550" i="1"/>
  <c r="I549" i="1"/>
  <c r="D550" i="1" l="1"/>
  <c r="G550" i="1" s="1"/>
  <c r="H551" i="1"/>
  <c r="J550" i="1"/>
  <c r="I550" i="1"/>
  <c r="D551" i="1" l="1"/>
  <c r="G551" i="1" s="1"/>
  <c r="I551" i="1"/>
  <c r="J551" i="1"/>
  <c r="H552" i="1"/>
  <c r="J552" i="1" l="1"/>
  <c r="H553" i="1"/>
  <c r="D552" i="1"/>
  <c r="G552" i="1" s="1"/>
  <c r="I552" i="1"/>
  <c r="I553" i="1" l="1"/>
  <c r="H554" i="1"/>
  <c r="D553" i="1"/>
  <c r="G553" i="1" s="1"/>
  <c r="J553" i="1"/>
  <c r="H555" i="1" l="1"/>
  <c r="D554" i="1"/>
  <c r="G554" i="1" s="1"/>
  <c r="J554" i="1"/>
  <c r="I554" i="1"/>
  <c r="H556" i="1" l="1"/>
  <c r="I555" i="1"/>
  <c r="J555" i="1"/>
  <c r="D555" i="1"/>
  <c r="G555" i="1" s="1"/>
  <c r="I556" i="1" l="1"/>
  <c r="D556" i="1"/>
  <c r="G556" i="1" s="1"/>
  <c r="J556" i="1"/>
  <c r="H557" i="1"/>
  <c r="J557" i="1" l="1"/>
  <c r="D557" i="1"/>
  <c r="G557" i="1" s="1"/>
  <c r="H558" i="1"/>
  <c r="I557" i="1"/>
  <c r="D558" i="1" l="1"/>
  <c r="G558" i="1" s="1"/>
  <c r="J558" i="1"/>
  <c r="H559" i="1"/>
  <c r="I558" i="1"/>
  <c r="J559" i="1" l="1"/>
  <c r="I559" i="1"/>
  <c r="D559" i="1"/>
  <c r="G559" i="1" s="1"/>
  <c r="H560" i="1"/>
  <c r="I560" i="1" l="1"/>
  <c r="D560" i="1"/>
  <c r="G560" i="1" s="1"/>
  <c r="H561" i="1"/>
  <c r="J560" i="1"/>
  <c r="J561" i="1" l="1"/>
  <c r="H562" i="1"/>
  <c r="I561" i="1"/>
  <c r="D561" i="1"/>
  <c r="G561" i="1" s="1"/>
  <c r="I562" i="1" l="1"/>
  <c r="J562" i="1"/>
  <c r="D562" i="1"/>
  <c r="G562" i="1" s="1"/>
  <c r="H563" i="1"/>
  <c r="I563" i="1" l="1"/>
  <c r="J563" i="1"/>
  <c r="D563" i="1"/>
  <c r="G563" i="1" s="1"/>
  <c r="H564" i="1"/>
  <c r="I564" i="1" l="1"/>
  <c r="H565" i="1"/>
  <c r="J564" i="1"/>
  <c r="D564" i="1"/>
  <c r="G564" i="1" s="1"/>
  <c r="D565" i="1" l="1"/>
  <c r="G565" i="1" s="1"/>
  <c r="J565" i="1"/>
  <c r="H566" i="1"/>
  <c r="I565" i="1"/>
  <c r="D566" i="1" l="1"/>
  <c r="G566" i="1" s="1"/>
  <c r="J566" i="1"/>
  <c r="I566" i="1"/>
  <c r="H567" i="1"/>
  <c r="J567" i="1" l="1"/>
  <c r="D567" i="1"/>
  <c r="G567" i="1" s="1"/>
  <c r="H568" i="1"/>
  <c r="I567" i="1"/>
  <c r="H569" i="1" l="1"/>
  <c r="J568" i="1"/>
  <c r="I568" i="1"/>
  <c r="D568" i="1"/>
  <c r="G568" i="1" s="1"/>
  <c r="J569" i="1" l="1"/>
  <c r="D569" i="1"/>
  <c r="G569" i="1" s="1"/>
  <c r="I569" i="1"/>
  <c r="H570" i="1"/>
  <c r="I570" i="1" l="1"/>
  <c r="H571" i="1"/>
  <c r="D570" i="1"/>
  <c r="G570" i="1" s="1"/>
  <c r="J570" i="1"/>
  <c r="H572" i="1" l="1"/>
  <c r="D571" i="1"/>
  <c r="G571" i="1" s="1"/>
  <c r="I571" i="1"/>
  <c r="J571" i="1"/>
  <c r="I572" i="1" l="1"/>
  <c r="H573" i="1"/>
  <c r="J572" i="1"/>
  <c r="D572" i="1"/>
  <c r="G572" i="1" s="1"/>
  <c r="J573" i="1" l="1"/>
  <c r="I573" i="1"/>
  <c r="D573" i="1"/>
  <c r="G573" i="1" s="1"/>
  <c r="H574" i="1"/>
  <c r="D574" i="1" l="1"/>
  <c r="G574" i="1" s="1"/>
  <c r="H575" i="1"/>
  <c r="J574" i="1"/>
  <c r="I574" i="1"/>
  <c r="I575" i="1" l="1"/>
  <c r="J575" i="1"/>
  <c r="H576" i="1"/>
  <c r="D575" i="1"/>
  <c r="G575" i="1" s="1"/>
  <c r="D576" i="1" l="1"/>
  <c r="G576" i="1" s="1"/>
  <c r="I576" i="1"/>
  <c r="H577" i="1"/>
  <c r="J576" i="1"/>
  <c r="H578" i="1" l="1"/>
  <c r="I577" i="1"/>
  <c r="J577" i="1"/>
  <c r="D577" i="1"/>
  <c r="G577" i="1" s="1"/>
  <c r="D578" i="1" l="1"/>
  <c r="G578" i="1" s="1"/>
  <c r="H579" i="1"/>
  <c r="I578" i="1"/>
  <c r="J578" i="1"/>
  <c r="J579" i="1" l="1"/>
  <c r="I579" i="1"/>
  <c r="H580" i="1"/>
  <c r="D579" i="1"/>
  <c r="G579" i="1" s="1"/>
  <c r="I580" i="1" l="1"/>
  <c r="J580" i="1"/>
  <c r="H581" i="1"/>
  <c r="D580" i="1"/>
  <c r="G580" i="1" s="1"/>
  <c r="H582" i="1" l="1"/>
  <c r="D581" i="1"/>
  <c r="G581" i="1" s="1"/>
  <c r="J581" i="1"/>
  <c r="I581" i="1"/>
  <c r="D582" i="1" l="1"/>
  <c r="G582" i="1" s="1"/>
  <c r="H583" i="1"/>
  <c r="J582" i="1"/>
  <c r="I582" i="1"/>
  <c r="D583" i="1" l="1"/>
  <c r="G583" i="1" s="1"/>
  <c r="J583" i="1"/>
  <c r="I583" i="1"/>
  <c r="H584" i="1"/>
  <c r="I584" i="1" l="1"/>
  <c r="H585" i="1"/>
  <c r="D584" i="1"/>
  <c r="G584" i="1" s="1"/>
  <c r="J584" i="1"/>
  <c r="J585" i="1" l="1"/>
  <c r="I585" i="1"/>
  <c r="D585" i="1"/>
  <c r="G585" i="1" s="1"/>
  <c r="H586" i="1"/>
  <c r="J586" i="1" l="1"/>
  <c r="H587" i="1"/>
  <c r="D586" i="1"/>
  <c r="G586" i="1" s="1"/>
  <c r="I586" i="1"/>
  <c r="H588" i="1" l="1"/>
  <c r="I587" i="1"/>
  <c r="D587" i="1"/>
  <c r="G587" i="1" s="1"/>
  <c r="J587" i="1"/>
  <c r="H589" i="1" l="1"/>
  <c r="J588" i="1"/>
  <c r="I588" i="1"/>
  <c r="D588" i="1"/>
  <c r="G588" i="1" s="1"/>
  <c r="I589" i="1" l="1"/>
  <c r="D589" i="1"/>
  <c r="G589" i="1" s="1"/>
  <c r="J589" i="1"/>
  <c r="H590" i="1"/>
  <c r="D590" i="1" l="1"/>
  <c r="G590" i="1" s="1"/>
  <c r="H591" i="1"/>
  <c r="I590" i="1"/>
  <c r="J590" i="1"/>
  <c r="H592" i="1" l="1"/>
  <c r="J591" i="1"/>
  <c r="D591" i="1"/>
  <c r="G591" i="1" s="1"/>
  <c r="I591" i="1"/>
  <c r="H593" i="1" l="1"/>
  <c r="J592" i="1"/>
  <c r="I592" i="1"/>
  <c r="D592" i="1"/>
  <c r="G592" i="1" s="1"/>
  <c r="I593" i="1" l="1"/>
  <c r="H594" i="1"/>
  <c r="D593" i="1"/>
  <c r="G593" i="1" s="1"/>
  <c r="J593" i="1"/>
  <c r="H595" i="1" l="1"/>
  <c r="I594" i="1"/>
  <c r="D594" i="1"/>
  <c r="G594" i="1" s="1"/>
  <c r="J594" i="1"/>
  <c r="H596" i="1" l="1"/>
  <c r="J595" i="1"/>
  <c r="D595" i="1"/>
  <c r="G595" i="1" s="1"/>
  <c r="I595" i="1"/>
  <c r="J596" i="1" l="1"/>
  <c r="I596" i="1"/>
  <c r="D596" i="1"/>
  <c r="G596" i="1" s="1"/>
  <c r="H597" i="1"/>
  <c r="I597" i="1" l="1"/>
  <c r="D597" i="1"/>
  <c r="G597" i="1" s="1"/>
  <c r="J597" i="1"/>
  <c r="H598" i="1"/>
  <c r="H599" i="1" l="1"/>
  <c r="J598" i="1"/>
  <c r="D598" i="1"/>
  <c r="G598" i="1" s="1"/>
  <c r="I598" i="1"/>
  <c r="I599" i="1" l="1"/>
  <c r="J599" i="1"/>
  <c r="H600" i="1"/>
  <c r="D599" i="1"/>
  <c r="G599" i="1" s="1"/>
  <c r="I600" i="1" l="1"/>
  <c r="J600" i="1"/>
  <c r="D600" i="1"/>
  <c r="G600" i="1" s="1"/>
  <c r="H601" i="1"/>
  <c r="D601" i="1" l="1"/>
  <c r="G601" i="1" s="1"/>
  <c r="J601" i="1"/>
  <c r="H602" i="1"/>
  <c r="I601" i="1"/>
  <c r="J602" i="1" l="1"/>
  <c r="H603" i="1"/>
  <c r="I602" i="1"/>
  <c r="D602" i="1"/>
  <c r="G602" i="1" s="1"/>
  <c r="I603" i="1" l="1"/>
  <c r="J603" i="1"/>
  <c r="H604" i="1"/>
  <c r="D603" i="1"/>
  <c r="G603" i="1" s="1"/>
  <c r="H605" i="1" l="1"/>
  <c r="J604" i="1"/>
  <c r="D604" i="1"/>
  <c r="G604" i="1" s="1"/>
  <c r="I604" i="1"/>
  <c r="H606" i="1" l="1"/>
  <c r="J605" i="1"/>
  <c r="I605" i="1"/>
  <c r="D605" i="1"/>
  <c r="G605" i="1" s="1"/>
  <c r="J606" i="1" l="1"/>
  <c r="I606" i="1"/>
  <c r="D606" i="1"/>
  <c r="G606" i="1" s="1"/>
  <c r="H607" i="1"/>
  <c r="I607" i="1" l="1"/>
  <c r="D607" i="1"/>
  <c r="G607" i="1" s="1"/>
  <c r="J607" i="1"/>
  <c r="H608" i="1"/>
  <c r="J608" i="1" l="1"/>
  <c r="D608" i="1"/>
  <c r="G608" i="1" s="1"/>
  <c r="H609" i="1"/>
  <c r="I608" i="1"/>
  <c r="I609" i="1" l="1"/>
  <c r="D609" i="1"/>
  <c r="G609" i="1" s="1"/>
  <c r="H610" i="1"/>
  <c r="J609" i="1"/>
  <c r="J610" i="1" l="1"/>
  <c r="I610" i="1"/>
  <c r="D610" i="1"/>
  <c r="G610" i="1" s="1"/>
  <c r="H611" i="1"/>
  <c r="J611" i="1" l="1"/>
  <c r="D611" i="1"/>
  <c r="G611" i="1" s="1"/>
  <c r="H612" i="1"/>
  <c r="I611" i="1"/>
  <c r="H613" i="1" l="1"/>
  <c r="D612" i="1"/>
  <c r="G612" i="1" s="1"/>
  <c r="J612" i="1"/>
  <c r="I612" i="1"/>
  <c r="J613" i="1" l="1"/>
  <c r="D613" i="1"/>
  <c r="G613" i="1" s="1"/>
  <c r="H614" i="1"/>
  <c r="I613" i="1"/>
  <c r="I614" i="1" l="1"/>
  <c r="D614" i="1"/>
  <c r="G614" i="1" s="1"/>
  <c r="H615" i="1"/>
  <c r="J614" i="1"/>
  <c r="I615" i="1" l="1"/>
  <c r="D615" i="1"/>
  <c r="G615" i="1" s="1"/>
  <c r="J615" i="1"/>
  <c r="H616" i="1"/>
  <c r="J616" i="1" l="1"/>
  <c r="H617" i="1"/>
  <c r="I616" i="1"/>
  <c r="D616" i="1"/>
  <c r="G616" i="1" s="1"/>
  <c r="D617" i="1" l="1"/>
  <c r="G617" i="1" s="1"/>
  <c r="I617" i="1"/>
  <c r="H618" i="1"/>
  <c r="J617" i="1"/>
  <c r="D618" i="1" l="1"/>
  <c r="G618" i="1" s="1"/>
  <c r="J618" i="1"/>
  <c r="I618" i="1"/>
  <c r="H619" i="1"/>
  <c r="D619" i="1" l="1"/>
  <c r="G619" i="1" s="1"/>
  <c r="I619" i="1"/>
  <c r="J619" i="1"/>
  <c r="H620" i="1"/>
  <c r="H621" i="1" l="1"/>
  <c r="D620" i="1"/>
  <c r="G620" i="1" s="1"/>
  <c r="I620" i="1"/>
  <c r="J620" i="1"/>
  <c r="J621" i="1" l="1"/>
  <c r="D621" i="1"/>
  <c r="G621" i="1" s="1"/>
  <c r="H622" i="1"/>
  <c r="I621" i="1"/>
  <c r="H623" i="1" l="1"/>
  <c r="J622" i="1"/>
  <c r="D622" i="1"/>
  <c r="G622" i="1" s="1"/>
  <c r="I622" i="1"/>
  <c r="H624" i="1" l="1"/>
  <c r="I623" i="1"/>
  <c r="J623" i="1"/>
  <c r="D623" i="1"/>
  <c r="G623" i="1" s="1"/>
  <c r="I624" i="1" l="1"/>
  <c r="H625" i="1"/>
  <c r="D624" i="1"/>
  <c r="G624" i="1" s="1"/>
  <c r="J624" i="1"/>
  <c r="I625" i="1" l="1"/>
  <c r="J625" i="1"/>
  <c r="D625" i="1"/>
  <c r="G625" i="1" s="1"/>
  <c r="H626" i="1"/>
  <c r="H627" i="1" l="1"/>
  <c r="D626" i="1"/>
  <c r="G626" i="1" s="1"/>
  <c r="J626" i="1"/>
  <c r="I626" i="1"/>
  <c r="I627" i="1" l="1"/>
  <c r="J627" i="1"/>
  <c r="H628" i="1"/>
  <c r="D627" i="1"/>
  <c r="G627" i="1" s="1"/>
  <c r="J628" i="1" l="1"/>
  <c r="I628" i="1"/>
  <c r="D628" i="1"/>
  <c r="G628" i="1" s="1"/>
  <c r="H629" i="1"/>
  <c r="D629" i="1" l="1"/>
  <c r="G629" i="1" s="1"/>
  <c r="I629" i="1"/>
  <c r="J629" i="1"/>
  <c r="H630" i="1"/>
  <c r="I630" i="1" l="1"/>
  <c r="J630" i="1"/>
  <c r="D630" i="1"/>
  <c r="G630" i="1" s="1"/>
  <c r="H631" i="1"/>
  <c r="J631" i="1" l="1"/>
  <c r="H632" i="1"/>
  <c r="I631" i="1"/>
  <c r="D631" i="1" l="1"/>
  <c r="G631" i="1" s="1"/>
  <c r="I632" i="1"/>
  <c r="D632" i="1"/>
  <c r="G632" i="1" s="1"/>
  <c r="H633" i="1"/>
  <c r="J632" i="1"/>
  <c r="H634" i="1" l="1"/>
  <c r="D633" i="1"/>
  <c r="G633" i="1" s="1"/>
  <c r="J633" i="1"/>
  <c r="I633" i="1"/>
  <c r="D634" i="1" l="1"/>
  <c r="G634" i="1" s="1"/>
  <c r="I634" i="1"/>
  <c r="H635" i="1"/>
  <c r="J634" i="1"/>
  <c r="J635" i="1" l="1"/>
  <c r="I635" i="1"/>
  <c r="H636" i="1"/>
  <c r="D635" i="1"/>
  <c r="G635" i="1" s="1"/>
  <c r="H637" i="1" l="1"/>
  <c r="J636" i="1"/>
  <c r="D636" i="1"/>
  <c r="G636" i="1" s="1"/>
  <c r="I636" i="1"/>
  <c r="I637" i="1" l="1"/>
  <c r="D637" i="1"/>
  <c r="G637" i="1" s="1"/>
  <c r="H638" i="1"/>
  <c r="J637" i="1"/>
  <c r="H639" i="1" l="1"/>
  <c r="I638" i="1"/>
  <c r="J638" i="1"/>
  <c r="D638" i="1"/>
  <c r="G638" i="1" s="1"/>
  <c r="H640" i="1" l="1"/>
  <c r="J639" i="1"/>
  <c r="D639" i="1"/>
  <c r="G639" i="1" s="1"/>
  <c r="I639" i="1"/>
  <c r="J640" i="1" l="1"/>
  <c r="H641" i="1"/>
  <c r="D640" i="1"/>
  <c r="G640" i="1" s="1"/>
  <c r="I640" i="1"/>
  <c r="D641" i="1" l="1"/>
  <c r="G641" i="1" s="1"/>
  <c r="I641" i="1"/>
  <c r="J641" i="1"/>
  <c r="H642" i="1"/>
  <c r="J642" i="1" l="1"/>
  <c r="H643" i="1"/>
  <c r="D642" i="1"/>
  <c r="G642" i="1" s="1"/>
  <c r="I642" i="1"/>
  <c r="J643" i="1" l="1"/>
  <c r="H644" i="1"/>
  <c r="I643" i="1"/>
  <c r="D643" i="1"/>
  <c r="G643" i="1" s="1"/>
  <c r="H645" i="1" l="1"/>
  <c r="I644" i="1"/>
  <c r="D644" i="1"/>
  <c r="G644" i="1" s="1"/>
  <c r="J644" i="1"/>
  <c r="H646" i="1" l="1"/>
  <c r="D645" i="1"/>
  <c r="G645" i="1" s="1"/>
  <c r="J645" i="1"/>
  <c r="I645" i="1"/>
  <c r="H647" i="1" l="1"/>
  <c r="J646" i="1"/>
  <c r="D646" i="1"/>
  <c r="G646" i="1" s="1"/>
  <c r="I646" i="1"/>
  <c r="I647" i="1" l="1"/>
  <c r="H648" i="1"/>
  <c r="D647" i="1"/>
  <c r="G647" i="1" s="1"/>
  <c r="J647" i="1"/>
  <c r="I648" i="1" l="1"/>
  <c r="J648" i="1"/>
  <c r="D648" i="1"/>
  <c r="G648" i="1" s="1"/>
  <c r="H649" i="1"/>
  <c r="I649" i="1" l="1"/>
  <c r="H650" i="1"/>
  <c r="J649" i="1"/>
  <c r="D649" i="1"/>
  <c r="G649" i="1" s="1"/>
  <c r="D650" i="1" l="1"/>
  <c r="G650" i="1" s="1"/>
  <c r="J650" i="1"/>
  <c r="H651" i="1"/>
  <c r="I650" i="1"/>
  <c r="J651" i="1" l="1"/>
  <c r="D651" i="1"/>
  <c r="G651" i="1" s="1"/>
  <c r="I651" i="1"/>
  <c r="H652" i="1"/>
  <c r="I652" i="1" l="1"/>
  <c r="D652" i="1"/>
  <c r="G652" i="1" s="1"/>
  <c r="J652" i="1"/>
  <c r="H653" i="1"/>
  <c r="I653" i="1" l="1"/>
  <c r="D653" i="1"/>
  <c r="G653" i="1" s="1"/>
  <c r="J653" i="1"/>
  <c r="H654" i="1"/>
  <c r="H655" i="1" l="1"/>
  <c r="J654" i="1"/>
  <c r="I654" i="1"/>
  <c r="D654" i="1"/>
  <c r="G654" i="1" s="1"/>
  <c r="H656" i="1" l="1"/>
  <c r="J655" i="1"/>
  <c r="I655" i="1"/>
  <c r="D655" i="1"/>
  <c r="G655" i="1" s="1"/>
  <c r="I656" i="1" l="1"/>
  <c r="J656" i="1"/>
  <c r="H657" i="1"/>
  <c r="D656" i="1"/>
  <c r="G656" i="1" s="1"/>
  <c r="D657" i="1" l="1"/>
  <c r="G657" i="1" s="1"/>
  <c r="I657" i="1"/>
  <c r="H658" i="1"/>
  <c r="J657" i="1"/>
  <c r="I658" i="1" l="1"/>
  <c r="D658" i="1"/>
  <c r="G658" i="1" s="1"/>
  <c r="J658" i="1"/>
  <c r="H659" i="1"/>
  <c r="D659" i="1" l="1"/>
  <c r="G659" i="1" s="1"/>
  <c r="H660" i="1"/>
  <c r="J659" i="1"/>
  <c r="I659" i="1"/>
  <c r="D660" i="1" l="1"/>
  <c r="G660" i="1" s="1"/>
  <c r="H661" i="1"/>
  <c r="I660" i="1"/>
  <c r="J660" i="1"/>
  <c r="I661" i="1" l="1"/>
  <c r="J661" i="1"/>
  <c r="H662" i="1"/>
  <c r="D661" i="1"/>
  <c r="G661" i="1" s="1"/>
  <c r="H663" i="1" l="1"/>
  <c r="D662" i="1"/>
  <c r="G662" i="1" s="1"/>
  <c r="J662" i="1"/>
  <c r="I662" i="1"/>
  <c r="I663" i="1" l="1"/>
  <c r="H664" i="1"/>
  <c r="J663" i="1"/>
  <c r="D663" i="1"/>
  <c r="G663" i="1" s="1"/>
  <c r="J664" i="1" l="1"/>
  <c r="I664" i="1"/>
  <c r="H665" i="1"/>
  <c r="D664" i="1"/>
  <c r="G664" i="1" s="1"/>
  <c r="J665" i="1" l="1"/>
  <c r="I665" i="1"/>
  <c r="D665" i="1"/>
  <c r="G665" i="1" s="1"/>
  <c r="H666" i="1"/>
  <c r="J666" i="1" l="1"/>
  <c r="H667" i="1"/>
  <c r="D666" i="1"/>
  <c r="G666" i="1" s="1"/>
  <c r="I666" i="1"/>
  <c r="D667" i="1" l="1"/>
  <c r="G667" i="1" s="1"/>
  <c r="J667" i="1"/>
  <c r="H668" i="1"/>
  <c r="I667" i="1"/>
  <c r="J668" i="1" l="1"/>
  <c r="H669" i="1"/>
  <c r="D668" i="1"/>
  <c r="G668" i="1" s="1"/>
  <c r="I668" i="1"/>
  <c r="H670" i="1" l="1"/>
  <c r="I669" i="1"/>
  <c r="D669" i="1"/>
  <c r="G669" i="1" s="1"/>
  <c r="J669" i="1"/>
  <c r="D670" i="1" l="1"/>
  <c r="G670" i="1" s="1"/>
  <c r="H671" i="1"/>
  <c r="I670" i="1"/>
  <c r="J670" i="1"/>
  <c r="J671" i="1" l="1"/>
  <c r="D671" i="1"/>
  <c r="G671" i="1" s="1"/>
  <c r="I671" i="1"/>
  <c r="H672" i="1"/>
  <c r="I672" i="1" l="1"/>
  <c r="D672" i="1"/>
  <c r="G672" i="1" s="1"/>
  <c r="H673" i="1"/>
  <c r="J672" i="1"/>
  <c r="D673" i="1" l="1"/>
  <c r="G673" i="1" s="1"/>
  <c r="I673" i="1"/>
  <c r="H674" i="1"/>
  <c r="J673" i="1"/>
  <c r="J674" i="1" l="1"/>
  <c r="I674" i="1"/>
  <c r="D674" i="1"/>
  <c r="G674" i="1" s="1"/>
  <c r="H675" i="1"/>
  <c r="J675" i="1" l="1"/>
  <c r="H676" i="1"/>
  <c r="I675" i="1"/>
  <c r="J676" i="1" l="1"/>
  <c r="D676" i="1"/>
  <c r="G676" i="1" s="1"/>
  <c r="I676" i="1"/>
  <c r="H677" i="1"/>
  <c r="D675" i="1"/>
  <c r="G675" i="1" s="1"/>
  <c r="I677" i="1" l="1"/>
  <c r="D677" i="1"/>
  <c r="G677" i="1" s="1"/>
  <c r="J677" i="1"/>
  <c r="H678" i="1"/>
  <c r="H679" i="1" l="1"/>
  <c r="D678" i="1"/>
  <c r="G678" i="1" s="1"/>
  <c r="J678" i="1"/>
  <c r="I678" i="1"/>
  <c r="H680" i="1" l="1"/>
  <c r="D679" i="1"/>
  <c r="G679" i="1" s="1"/>
  <c r="I679" i="1"/>
  <c r="J679" i="1"/>
  <c r="I680" i="1" l="1"/>
  <c r="H681" i="1"/>
  <c r="J680" i="1"/>
  <c r="D680" i="1" l="1"/>
  <c r="G680" i="1" s="1"/>
  <c r="H682" i="1"/>
  <c r="J681" i="1"/>
  <c r="I681" i="1"/>
  <c r="D681" i="1"/>
  <c r="G681" i="1" s="1"/>
  <c r="J682" i="1" l="1"/>
  <c r="D682" i="1"/>
  <c r="G682" i="1" s="1"/>
  <c r="H683" i="1"/>
  <c r="I682" i="1"/>
  <c r="D683" i="1" l="1"/>
  <c r="G683" i="1" s="1"/>
  <c r="I683" i="1"/>
  <c r="H684" i="1"/>
  <c r="J683" i="1"/>
  <c r="H685" i="1" l="1"/>
  <c r="D684" i="1"/>
  <c r="G684" i="1" s="1"/>
  <c r="I684" i="1"/>
  <c r="J684" i="1"/>
  <c r="J685" i="1" l="1"/>
  <c r="H686" i="1"/>
  <c r="D685" i="1"/>
  <c r="G685" i="1" s="1"/>
  <c r="I685" i="1"/>
  <c r="J686" i="1" l="1"/>
  <c r="H687" i="1"/>
  <c r="I686" i="1"/>
  <c r="D686" i="1"/>
  <c r="G686" i="1" s="1"/>
  <c r="H688" i="1" l="1"/>
  <c r="I687" i="1"/>
  <c r="J687" i="1"/>
  <c r="D687" i="1"/>
  <c r="G687" i="1" s="1"/>
  <c r="H689" i="1" l="1"/>
  <c r="D688" i="1"/>
  <c r="G688" i="1" s="1"/>
  <c r="I688" i="1"/>
  <c r="J688" i="1"/>
  <c r="I689" i="1" l="1"/>
  <c r="D689" i="1"/>
  <c r="G689" i="1" s="1"/>
  <c r="J689" i="1"/>
  <c r="H690" i="1"/>
  <c r="D690" i="1" l="1"/>
  <c r="G690" i="1" s="1"/>
  <c r="I690" i="1"/>
  <c r="H691" i="1"/>
  <c r="J690" i="1"/>
  <c r="H692" i="1" l="1"/>
  <c r="I691" i="1"/>
  <c r="D691" i="1"/>
  <c r="G691" i="1" s="1"/>
  <c r="J691" i="1"/>
  <c r="H693" i="1" l="1"/>
  <c r="D692" i="1"/>
  <c r="G692" i="1" s="1"/>
  <c r="J692" i="1"/>
  <c r="I692" i="1"/>
  <c r="J693" i="1" l="1"/>
  <c r="I693" i="1"/>
  <c r="H694" i="1"/>
  <c r="D693" i="1"/>
  <c r="G693" i="1" s="1"/>
  <c r="H695" i="1" l="1"/>
  <c r="J694" i="1"/>
  <c r="I694" i="1"/>
  <c r="D694" i="1"/>
  <c r="G694" i="1" s="1"/>
  <c r="D695" i="1" l="1"/>
  <c r="G695" i="1" s="1"/>
  <c r="I695" i="1"/>
  <c r="J695" i="1"/>
  <c r="H696" i="1"/>
  <c r="H697" i="1" l="1"/>
  <c r="D696" i="1"/>
  <c r="G696" i="1" s="1"/>
  <c r="I696" i="1"/>
  <c r="J696" i="1"/>
  <c r="D697" i="1" l="1"/>
  <c r="G697" i="1" s="1"/>
  <c r="J697" i="1"/>
  <c r="H698" i="1"/>
  <c r="I697" i="1"/>
  <c r="H699" i="1" l="1"/>
  <c r="J698" i="1"/>
  <c r="I698" i="1"/>
  <c r="D698" i="1"/>
  <c r="G698" i="1" s="1"/>
  <c r="I699" i="1" l="1"/>
  <c r="J699" i="1"/>
  <c r="H700" i="1"/>
  <c r="D699" i="1" l="1"/>
  <c r="G699" i="1" s="1"/>
  <c r="J700" i="1"/>
  <c r="I700" i="1"/>
  <c r="H701" i="1"/>
  <c r="I701" i="1" l="1"/>
  <c r="D701" i="1"/>
  <c r="G701" i="1" s="1"/>
  <c r="H702" i="1"/>
  <c r="J701" i="1"/>
  <c r="D700" i="1"/>
  <c r="G700" i="1" s="1"/>
  <c r="I702" i="1" l="1"/>
  <c r="J702" i="1"/>
  <c r="H703" i="1"/>
  <c r="D702" i="1"/>
  <c r="G702" i="1" s="1"/>
  <c r="J703" i="1" l="1"/>
  <c r="D703" i="1"/>
  <c r="G703" i="1" s="1"/>
  <c r="H704" i="1"/>
  <c r="I703" i="1"/>
  <c r="D704" i="1" l="1"/>
  <c r="G704" i="1" s="1"/>
  <c r="J704" i="1"/>
  <c r="I704" i="1"/>
  <c r="H705" i="1"/>
  <c r="H706" i="1" l="1"/>
  <c r="I705" i="1"/>
  <c r="D705" i="1"/>
  <c r="G705" i="1" s="1"/>
  <c r="J705" i="1"/>
  <c r="H707" i="1" l="1"/>
  <c r="I706" i="1"/>
  <c r="J706" i="1"/>
  <c r="D706" i="1"/>
  <c r="G706" i="1" s="1"/>
  <c r="H708" i="1" l="1"/>
  <c r="I707" i="1"/>
  <c r="J707" i="1"/>
  <c r="D707" i="1"/>
  <c r="G707" i="1" s="1"/>
  <c r="H709" i="1" l="1"/>
  <c r="J708" i="1"/>
  <c r="D708" i="1"/>
  <c r="G708" i="1" s="1"/>
  <c r="I708" i="1"/>
  <c r="J709" i="1" l="1"/>
  <c r="I709" i="1"/>
  <c r="D709" i="1"/>
  <c r="G709" i="1" s="1"/>
  <c r="H710" i="1"/>
  <c r="H711" i="1" l="1"/>
  <c r="D710" i="1"/>
  <c r="G710" i="1" s="1"/>
  <c r="I710" i="1"/>
  <c r="J710" i="1"/>
  <c r="H712" i="1" l="1"/>
  <c r="J711" i="1"/>
  <c r="D711" i="1"/>
  <c r="G711" i="1" s="1"/>
  <c r="I711" i="1"/>
  <c r="I712" i="1" l="1"/>
  <c r="D712" i="1"/>
  <c r="G712" i="1" s="1"/>
  <c r="H713" i="1"/>
  <c r="J712" i="1"/>
  <c r="D713" i="1" l="1"/>
  <c r="G713" i="1" s="1"/>
  <c r="I713" i="1"/>
  <c r="H714" i="1"/>
  <c r="J713" i="1"/>
  <c r="I714" i="1" l="1"/>
  <c r="H715" i="1"/>
  <c r="D714" i="1"/>
  <c r="G714" i="1" s="1"/>
  <c r="J714" i="1"/>
  <c r="H716" i="1" l="1"/>
  <c r="J715" i="1"/>
  <c r="D715" i="1"/>
  <c r="G715" i="1" s="1"/>
  <c r="I715" i="1"/>
  <c r="I716" i="1" l="1"/>
  <c r="H717" i="1"/>
  <c r="J716" i="1"/>
  <c r="D716" i="1"/>
  <c r="G716" i="1" s="1"/>
  <c r="J717" i="1" l="1"/>
  <c r="D717" i="1"/>
  <c r="G717" i="1" s="1"/>
  <c r="H718" i="1"/>
  <c r="I717" i="1"/>
  <c r="J718" i="1" l="1"/>
  <c r="H719" i="1"/>
  <c r="I718" i="1"/>
  <c r="D718" i="1"/>
  <c r="G718" i="1" s="1"/>
  <c r="H720" i="1" l="1"/>
  <c r="J719" i="1"/>
  <c r="I719" i="1"/>
  <c r="D719" i="1"/>
  <c r="G719" i="1" s="1"/>
  <c r="I720" i="1" l="1"/>
  <c r="D720" i="1"/>
  <c r="G720" i="1" s="1"/>
  <c r="J720" i="1"/>
  <c r="H721" i="1"/>
  <c r="J721" i="1" l="1"/>
  <c r="I721" i="1"/>
  <c r="H722" i="1"/>
  <c r="D721" i="1" l="1"/>
  <c r="G721" i="1" s="1"/>
  <c r="D722" i="1"/>
  <c r="G722" i="1" s="1"/>
  <c r="H723" i="1"/>
  <c r="J722" i="1"/>
  <c r="I722" i="1"/>
  <c r="I723" i="1" l="1"/>
  <c r="J723" i="1"/>
  <c r="H724" i="1"/>
  <c r="D723" i="1"/>
  <c r="G723" i="1" s="1"/>
  <c r="J724" i="1" l="1"/>
  <c r="D724" i="1"/>
  <c r="G724" i="1" s="1"/>
  <c r="H725" i="1"/>
  <c r="I724" i="1"/>
  <c r="D725" i="1" l="1"/>
  <c r="G725" i="1" s="1"/>
  <c r="J725" i="1"/>
  <c r="I725" i="1"/>
  <c r="H726" i="1"/>
  <c r="I726" i="1" l="1"/>
  <c r="H727" i="1"/>
  <c r="D726" i="1"/>
  <c r="G726" i="1" s="1"/>
  <c r="J726" i="1"/>
  <c r="J727" i="1" l="1"/>
  <c r="D727" i="1"/>
  <c r="G727" i="1" s="1"/>
  <c r="H728" i="1"/>
  <c r="I727" i="1"/>
  <c r="J728" i="1" l="1"/>
  <c r="H729" i="1"/>
  <c r="D728" i="1"/>
  <c r="G728" i="1" s="1"/>
  <c r="I728" i="1"/>
  <c r="H730" i="1" l="1"/>
  <c r="D729" i="1"/>
  <c r="G729" i="1" s="1"/>
  <c r="I729" i="1"/>
  <c r="J729" i="1"/>
  <c r="H731" i="1" l="1"/>
  <c r="J730" i="1"/>
  <c r="D730" i="1"/>
  <c r="G730" i="1" s="1"/>
  <c r="I730" i="1"/>
  <c r="H732" i="1" l="1"/>
  <c r="D731" i="1"/>
  <c r="G731" i="1" s="1"/>
  <c r="J731" i="1"/>
  <c r="I731" i="1"/>
  <c r="J732" i="1" l="1"/>
  <c r="H733" i="1"/>
  <c r="D732" i="1"/>
  <c r="G732" i="1" s="1"/>
  <c r="I732" i="1"/>
  <c r="H734" i="1" l="1"/>
  <c r="J733" i="1"/>
  <c r="D733" i="1"/>
  <c r="G733" i="1" s="1"/>
  <c r="I733" i="1"/>
  <c r="J734" i="1" l="1"/>
  <c r="H735" i="1"/>
  <c r="D734" i="1"/>
  <c r="G734" i="1" s="1"/>
  <c r="I734" i="1"/>
  <c r="I735" i="1" l="1"/>
  <c r="H736" i="1"/>
  <c r="D735" i="1"/>
  <c r="G735" i="1" s="1"/>
  <c r="J735" i="1"/>
  <c r="I736" i="1" l="1"/>
  <c r="J736" i="1"/>
  <c r="H737" i="1"/>
  <c r="D736" i="1" l="1"/>
  <c r="G736" i="1" s="1"/>
  <c r="D737" i="1"/>
  <c r="G737" i="1" s="1"/>
  <c r="H738" i="1"/>
  <c r="I737" i="1"/>
  <c r="J737" i="1"/>
  <c r="D738" i="1" l="1"/>
  <c r="G738" i="1" s="1"/>
  <c r="J738" i="1"/>
  <c r="I738" i="1"/>
  <c r="H739" i="1"/>
  <c r="J739" i="1" l="1"/>
  <c r="D739" i="1"/>
  <c r="G739" i="1" s="1"/>
  <c r="I739" i="1"/>
  <c r="H740" i="1"/>
  <c r="H741" i="1" l="1"/>
  <c r="D740" i="1"/>
  <c r="G740" i="1" s="1"/>
  <c r="J740" i="1"/>
  <c r="I740" i="1"/>
  <c r="H742" i="1" l="1"/>
  <c r="J741" i="1"/>
  <c r="D741" i="1"/>
  <c r="G741" i="1" s="1"/>
  <c r="I741" i="1"/>
  <c r="D742" i="1" l="1"/>
  <c r="G742" i="1" s="1"/>
  <c r="J742" i="1"/>
  <c r="H743" i="1"/>
  <c r="I742" i="1"/>
  <c r="H744" i="1" l="1"/>
  <c r="I743" i="1"/>
  <c r="J743" i="1"/>
  <c r="D743" i="1"/>
  <c r="G743" i="1" s="1"/>
  <c r="J744" i="1" l="1"/>
  <c r="D744" i="1"/>
  <c r="G744" i="1" s="1"/>
  <c r="H745" i="1"/>
  <c r="I744" i="1"/>
  <c r="D745" i="1" l="1"/>
  <c r="G745" i="1" s="1"/>
  <c r="H746" i="1"/>
  <c r="I745" i="1"/>
  <c r="J745" i="1"/>
  <c r="H747" i="1" l="1"/>
  <c r="J746" i="1"/>
  <c r="I746" i="1"/>
  <c r="D746" i="1"/>
  <c r="G746" i="1" s="1"/>
  <c r="J747" i="1" l="1"/>
  <c r="I747" i="1"/>
  <c r="D747" i="1"/>
  <c r="G747" i="1" s="1"/>
  <c r="H748" i="1"/>
  <c r="H749" i="1" l="1"/>
  <c r="I748" i="1"/>
  <c r="J748" i="1"/>
  <c r="D748" i="1"/>
  <c r="G748" i="1" s="1"/>
  <c r="I749" i="1" l="1"/>
  <c r="H750" i="1"/>
  <c r="J749" i="1"/>
  <c r="D749" i="1"/>
  <c r="G749" i="1" s="1"/>
  <c r="J750" i="1" l="1"/>
  <c r="H751" i="1"/>
  <c r="D750" i="1"/>
  <c r="G750" i="1" s="1"/>
  <c r="I750" i="1"/>
  <c r="I751" i="1" l="1"/>
  <c r="D751" i="1"/>
  <c r="G751" i="1" s="1"/>
  <c r="J751" i="1"/>
  <c r="H752" i="1"/>
  <c r="I752" i="1" l="1"/>
  <c r="D752" i="1"/>
  <c r="G752" i="1" s="1"/>
  <c r="H753" i="1"/>
  <c r="J752" i="1"/>
  <c r="I753" i="1" l="1"/>
  <c r="D753" i="1"/>
  <c r="G753" i="1" s="1"/>
  <c r="H754" i="1"/>
  <c r="J753" i="1"/>
  <c r="J754" i="1" l="1"/>
  <c r="I754" i="1"/>
  <c r="H755" i="1"/>
  <c r="D754" i="1"/>
  <c r="G754" i="1" s="1"/>
  <c r="J755" i="1" l="1"/>
  <c r="H756" i="1"/>
  <c r="I755" i="1"/>
  <c r="D755" i="1"/>
  <c r="G755" i="1" s="1"/>
  <c r="I756" i="1" l="1"/>
  <c r="J756" i="1"/>
  <c r="H757" i="1"/>
  <c r="D756" i="1" l="1"/>
  <c r="G756" i="1" s="1"/>
  <c r="I757" i="1"/>
  <c r="H758" i="1"/>
  <c r="D757" i="1"/>
  <c r="G757" i="1" s="1"/>
  <c r="J757" i="1"/>
  <c r="D758" i="1" l="1"/>
  <c r="G758" i="1" s="1"/>
  <c r="I758" i="1"/>
  <c r="J758" i="1"/>
  <c r="H759" i="1"/>
  <c r="I759" i="1" l="1"/>
  <c r="H760" i="1"/>
  <c r="D759" i="1"/>
  <c r="G759" i="1" s="1"/>
  <c r="J759" i="1"/>
  <c r="J760" i="1" l="1"/>
  <c r="D760" i="1"/>
  <c r="G760" i="1" s="1"/>
  <c r="H761" i="1"/>
  <c r="I760" i="1"/>
  <c r="H762" i="1" l="1"/>
  <c r="J761" i="1"/>
  <c r="I761" i="1"/>
  <c r="D761" i="1"/>
  <c r="G761" i="1" s="1"/>
  <c r="H763" i="1" l="1"/>
  <c r="D762" i="1"/>
  <c r="G762" i="1" s="1"/>
  <c r="I762" i="1"/>
  <c r="J762" i="1"/>
  <c r="I763" i="1" l="1"/>
  <c r="D763" i="1"/>
  <c r="G763" i="1" s="1"/>
  <c r="J763" i="1"/>
  <c r="H764" i="1"/>
  <c r="J764" i="1" l="1"/>
  <c r="I764" i="1"/>
  <c r="H765" i="1"/>
  <c r="D764" i="1" l="1"/>
  <c r="G764" i="1" s="1"/>
  <c r="I765" i="1"/>
  <c r="D765" i="1"/>
  <c r="G765" i="1" s="1"/>
  <c r="J765" i="1"/>
  <c r="H766" i="1"/>
  <c r="D766" i="1" l="1"/>
  <c r="G766" i="1" s="1"/>
  <c r="H767" i="1"/>
  <c r="I766" i="1"/>
  <c r="J766" i="1"/>
  <c r="D767" i="1" l="1"/>
  <c r="G767" i="1" s="1"/>
  <c r="H768" i="1"/>
  <c r="J767" i="1"/>
  <c r="I767" i="1"/>
  <c r="J768" i="1" l="1"/>
  <c r="D768" i="1"/>
  <c r="G768" i="1" s="1"/>
  <c r="H769" i="1"/>
  <c r="I768" i="1"/>
  <c r="D769" i="1" l="1"/>
  <c r="G769" i="1" s="1"/>
  <c r="J769" i="1"/>
  <c r="I769" i="1"/>
  <c r="H770" i="1"/>
  <c r="H771" i="1" l="1"/>
  <c r="D770" i="1"/>
  <c r="G770" i="1" s="1"/>
  <c r="I770" i="1"/>
  <c r="J770" i="1"/>
  <c r="I771" i="1" l="1"/>
  <c r="H772" i="1"/>
  <c r="J771" i="1"/>
  <c r="D771" i="1"/>
  <c r="G771" i="1" s="1"/>
  <c r="I772" i="1" l="1"/>
  <c r="D772" i="1"/>
  <c r="G772" i="1" s="1"/>
  <c r="H773" i="1"/>
  <c r="J772" i="1"/>
  <c r="H774" i="1" l="1"/>
  <c r="I773" i="1"/>
  <c r="D773" i="1"/>
  <c r="G773" i="1" s="1"/>
  <c r="J773" i="1"/>
  <c r="J774" i="1" l="1"/>
  <c r="H775" i="1"/>
  <c r="I774" i="1"/>
  <c r="D774" i="1"/>
  <c r="G774" i="1" s="1"/>
  <c r="J775" i="1" l="1"/>
  <c r="D775" i="1"/>
  <c r="G775" i="1" s="1"/>
  <c r="I775" i="1"/>
  <c r="H776" i="1"/>
  <c r="I776" i="1" l="1"/>
  <c r="J776" i="1"/>
  <c r="H777" i="1"/>
  <c r="D776" i="1"/>
  <c r="G776" i="1" s="1"/>
  <c r="I777" i="1" l="1"/>
  <c r="J777" i="1"/>
  <c r="H778" i="1"/>
  <c r="D777" i="1"/>
  <c r="G777" i="1" s="1"/>
  <c r="J778" i="1" l="1"/>
  <c r="D778" i="1"/>
  <c r="G778" i="1" s="1"/>
  <c r="I778" i="1"/>
  <c r="H779" i="1"/>
  <c r="H780" i="1" l="1"/>
  <c r="J779" i="1"/>
  <c r="D779" i="1"/>
  <c r="G779" i="1" s="1"/>
  <c r="I779" i="1"/>
  <c r="D780" i="1" l="1"/>
  <c r="G780" i="1" s="1"/>
  <c r="I780" i="1"/>
  <c r="J780" i="1"/>
  <c r="H781" i="1"/>
  <c r="H782" i="1" l="1"/>
  <c r="D781" i="1"/>
  <c r="G781" i="1" s="1"/>
  <c r="J781" i="1"/>
  <c r="I781" i="1"/>
  <c r="J782" i="1" l="1"/>
  <c r="I782" i="1"/>
  <c r="H783" i="1"/>
  <c r="I783" i="1" l="1"/>
  <c r="D783" i="1"/>
  <c r="G783" i="1" s="1"/>
  <c r="J783" i="1"/>
  <c r="H784" i="1"/>
  <c r="D782" i="1"/>
  <c r="G782" i="1" s="1"/>
  <c r="I784" i="1" l="1"/>
  <c r="H785" i="1"/>
  <c r="D784" i="1"/>
  <c r="G784" i="1" s="1"/>
  <c r="J784" i="1"/>
  <c r="J785" i="1" l="1"/>
  <c r="D785" i="1"/>
  <c r="G785" i="1" s="1"/>
  <c r="H786" i="1"/>
  <c r="I785" i="1"/>
  <c r="D786" i="1" l="1"/>
  <c r="G786" i="1" s="1"/>
  <c r="J786" i="1"/>
  <c r="H787" i="1"/>
  <c r="I786" i="1"/>
  <c r="J787" i="1" l="1"/>
  <c r="H788" i="1"/>
  <c r="D787" i="1"/>
  <c r="G787" i="1" s="1"/>
  <c r="I787" i="1"/>
  <c r="H789" i="1" l="1"/>
  <c r="I788" i="1"/>
  <c r="D788" i="1"/>
  <c r="G788" i="1" s="1"/>
  <c r="J788" i="1"/>
  <c r="I789" i="1" l="1"/>
  <c r="D789" i="1"/>
  <c r="G789" i="1" s="1"/>
  <c r="H790" i="1"/>
  <c r="J789" i="1"/>
  <c r="I790" i="1" l="1"/>
  <c r="J790" i="1"/>
  <c r="H791" i="1"/>
  <c r="D790" i="1"/>
  <c r="G790" i="1" s="1"/>
  <c r="J791" i="1" l="1"/>
  <c r="I791" i="1"/>
  <c r="D791" i="1"/>
  <c r="G791" i="1" s="1"/>
  <c r="H792" i="1"/>
  <c r="I792" i="1" l="1"/>
  <c r="D792" i="1"/>
  <c r="G792" i="1" s="1"/>
  <c r="J792" i="1"/>
  <c r="H793" i="1"/>
  <c r="J793" i="1" l="1"/>
  <c r="H794" i="1"/>
  <c r="D793" i="1"/>
  <c r="G793" i="1" s="1"/>
  <c r="I793" i="1"/>
  <c r="J794" i="1" l="1"/>
  <c r="D794" i="1"/>
  <c r="G794" i="1" s="1"/>
  <c r="I794" i="1"/>
  <c r="H795" i="1"/>
  <c r="J795" i="1" l="1"/>
  <c r="H796" i="1"/>
  <c r="D795" i="1"/>
  <c r="G795" i="1" s="1"/>
  <c r="I795" i="1"/>
  <c r="D796" i="1" l="1"/>
  <c r="G796" i="1" s="1"/>
  <c r="H797" i="1"/>
  <c r="I796" i="1"/>
  <c r="J796" i="1"/>
  <c r="D797" i="1" l="1"/>
  <c r="G797" i="1" s="1"/>
  <c r="H798" i="1"/>
  <c r="I797" i="1"/>
  <c r="J797" i="1"/>
  <c r="H799" i="1" l="1"/>
  <c r="D798" i="1"/>
  <c r="G798" i="1" s="1"/>
  <c r="J798" i="1"/>
  <c r="I798" i="1"/>
  <c r="D799" i="1" l="1"/>
  <c r="G799" i="1" s="1"/>
  <c r="I799" i="1"/>
  <c r="J799" i="1"/>
  <c r="H800" i="1"/>
  <c r="J800" i="1" l="1"/>
  <c r="D800" i="1"/>
  <c r="G800" i="1" s="1"/>
  <c r="I800" i="1"/>
  <c r="H801" i="1"/>
  <c r="I801" i="1" l="1"/>
  <c r="H802" i="1"/>
  <c r="D801" i="1"/>
  <c r="G801" i="1" s="1"/>
  <c r="J801" i="1"/>
  <c r="I802" i="1" l="1"/>
  <c r="H803" i="1"/>
  <c r="J802" i="1"/>
  <c r="D802" i="1"/>
  <c r="G802" i="1" s="1"/>
  <c r="H804" i="1" l="1"/>
  <c r="D803" i="1"/>
  <c r="G803" i="1" s="1"/>
  <c r="J803" i="1"/>
  <c r="I803" i="1"/>
  <c r="I804" i="1" l="1"/>
  <c r="H805" i="1"/>
  <c r="D804" i="1"/>
  <c r="G804" i="1" s="1"/>
  <c r="J804" i="1"/>
  <c r="J805" i="1" l="1"/>
  <c r="D805" i="1"/>
  <c r="G805" i="1" s="1"/>
  <c r="I805" i="1"/>
  <c r="H806" i="1"/>
  <c r="I806" i="1" l="1"/>
  <c r="J806" i="1"/>
  <c r="H807" i="1"/>
  <c r="D806" i="1"/>
  <c r="G806" i="1" s="1"/>
  <c r="H808" i="1" l="1"/>
  <c r="I807" i="1"/>
  <c r="D807" i="1"/>
  <c r="G807" i="1" s="1"/>
  <c r="J807" i="1"/>
  <c r="H809" i="1" l="1"/>
  <c r="J808" i="1"/>
  <c r="I808" i="1"/>
  <c r="D808" i="1"/>
  <c r="G808" i="1" s="1"/>
  <c r="H810" i="1" l="1"/>
  <c r="I809" i="1"/>
  <c r="D809" i="1"/>
  <c r="G809" i="1" s="1"/>
  <c r="J809" i="1"/>
  <c r="H811" i="1" l="1"/>
  <c r="I810" i="1"/>
  <c r="J810" i="1"/>
  <c r="D810" i="1"/>
  <c r="G810" i="1" s="1"/>
  <c r="H812" i="1" l="1"/>
  <c r="I811" i="1"/>
  <c r="D811" i="1"/>
  <c r="G811" i="1" s="1"/>
  <c r="J811" i="1"/>
  <c r="J812" i="1" l="1"/>
  <c r="D812" i="1"/>
  <c r="G812" i="1" s="1"/>
  <c r="I812" i="1"/>
  <c r="H813" i="1"/>
  <c r="J813" i="1" l="1"/>
  <c r="D813" i="1"/>
  <c r="G813" i="1" s="1"/>
  <c r="H814" i="1"/>
  <c r="I813" i="1"/>
  <c r="D814" i="1" l="1"/>
  <c r="G814" i="1" s="1"/>
  <c r="H815" i="1"/>
  <c r="I814" i="1"/>
  <c r="J814" i="1"/>
  <c r="D815" i="1" l="1"/>
  <c r="G815" i="1" s="1"/>
  <c r="J815" i="1"/>
  <c r="I815" i="1"/>
  <c r="H816" i="1"/>
  <c r="J816" i="1" l="1"/>
  <c r="I816" i="1"/>
  <c r="D816" i="1"/>
  <c r="G816" i="1" s="1"/>
  <c r="H817" i="1"/>
  <c r="H818" i="1" l="1"/>
  <c r="I817" i="1"/>
  <c r="D817" i="1"/>
  <c r="G817" i="1" s="1"/>
  <c r="J817" i="1"/>
  <c r="H819" i="1" l="1"/>
  <c r="D818" i="1"/>
  <c r="G818" i="1" s="1"/>
  <c r="J818" i="1"/>
  <c r="I818" i="1"/>
  <c r="D819" i="1" l="1"/>
  <c r="G819" i="1" s="1"/>
  <c r="J819" i="1"/>
  <c r="I819" i="1"/>
  <c r="H820" i="1"/>
  <c r="J820" i="1" l="1"/>
  <c r="D820" i="1"/>
  <c r="G820" i="1" s="1"/>
  <c r="I820" i="1"/>
  <c r="H821" i="1"/>
  <c r="H822" i="1" l="1"/>
  <c r="D821" i="1"/>
  <c r="G821" i="1" s="1"/>
  <c r="I821" i="1"/>
  <c r="J821" i="1"/>
  <c r="H823" i="1" l="1"/>
  <c r="I822" i="1"/>
  <c r="D822" i="1"/>
  <c r="G822" i="1" s="1"/>
  <c r="J822" i="1"/>
  <c r="H824" i="1" l="1"/>
  <c r="I823" i="1"/>
  <c r="D823" i="1"/>
  <c r="G823" i="1" s="1"/>
  <c r="J823" i="1"/>
  <c r="J824" i="1" l="1"/>
  <c r="H825" i="1"/>
  <c r="D824" i="1"/>
  <c r="G824" i="1" s="1"/>
  <c r="I824" i="1"/>
  <c r="I825" i="1" l="1"/>
  <c r="D825" i="1"/>
  <c r="G825" i="1" s="1"/>
  <c r="H826" i="1"/>
  <c r="J825" i="1"/>
  <c r="I826" i="1" l="1"/>
  <c r="J826" i="1"/>
  <c r="D826" i="1"/>
  <c r="G826" i="1" s="1"/>
  <c r="H827" i="1"/>
  <c r="J827" i="1" l="1"/>
  <c r="D827" i="1"/>
  <c r="G827" i="1" s="1"/>
  <c r="H828" i="1"/>
  <c r="I827" i="1"/>
  <c r="H829" i="1" l="1"/>
  <c r="J828" i="1"/>
  <c r="D828" i="1"/>
  <c r="G828" i="1" s="1"/>
  <c r="I828" i="1"/>
  <c r="J829" i="1" l="1"/>
  <c r="D829" i="1"/>
  <c r="G829" i="1" s="1"/>
  <c r="I829" i="1"/>
  <c r="H830" i="1"/>
  <c r="J830" i="1" l="1"/>
  <c r="H831" i="1"/>
  <c r="D830" i="1"/>
  <c r="G830" i="1" s="1"/>
  <c r="I830" i="1"/>
  <c r="J831" i="1" l="1"/>
  <c r="D831" i="1"/>
  <c r="G831" i="1" s="1"/>
  <c r="I831" i="1"/>
  <c r="H832" i="1"/>
  <c r="H833" i="1" l="1"/>
  <c r="D832" i="1"/>
  <c r="G832" i="1" s="1"/>
  <c r="I832" i="1"/>
  <c r="J832" i="1"/>
  <c r="D833" i="1" l="1"/>
  <c r="G833" i="1" s="1"/>
  <c r="J833" i="1"/>
  <c r="I833" i="1"/>
  <c r="H834" i="1"/>
  <c r="J834" i="1" l="1"/>
  <c r="I834" i="1"/>
  <c r="D834" i="1"/>
  <c r="G834" i="1" s="1"/>
  <c r="H835" i="1"/>
  <c r="I835" i="1" l="1"/>
  <c r="D835" i="1"/>
  <c r="G835" i="1" s="1"/>
  <c r="J835" i="1"/>
  <c r="H836" i="1"/>
  <c r="I836" i="1" l="1"/>
  <c r="H837" i="1"/>
  <c r="J836" i="1"/>
  <c r="D836" i="1"/>
  <c r="G836" i="1" s="1"/>
  <c r="H838" i="1" l="1"/>
  <c r="D837" i="1"/>
  <c r="G837" i="1" s="1"/>
  <c r="J837" i="1"/>
  <c r="I837" i="1"/>
  <c r="H839" i="1" l="1"/>
  <c r="I838" i="1"/>
  <c r="J838" i="1"/>
  <c r="D838" i="1"/>
  <c r="G838" i="1" s="1"/>
  <c r="H840" i="1" l="1"/>
  <c r="J839" i="1"/>
  <c r="I839" i="1"/>
  <c r="D839" i="1"/>
  <c r="G839" i="1" s="1"/>
  <c r="H841" i="1" l="1"/>
  <c r="D840" i="1"/>
  <c r="G840" i="1" s="1"/>
  <c r="I840" i="1"/>
  <c r="J840" i="1"/>
  <c r="D841" i="1" l="1"/>
  <c r="G841" i="1" s="1"/>
  <c r="J841" i="1"/>
  <c r="I841" i="1"/>
  <c r="H842" i="1"/>
  <c r="H843" i="1" l="1"/>
  <c r="D842" i="1"/>
  <c r="G842" i="1" s="1"/>
  <c r="I842" i="1"/>
  <c r="J842" i="1"/>
  <c r="J843" i="1" l="1"/>
  <c r="D843" i="1"/>
  <c r="G843" i="1" s="1"/>
  <c r="H844" i="1"/>
  <c r="I843" i="1"/>
  <c r="J844" i="1" l="1"/>
  <c r="I844" i="1"/>
  <c r="D844" i="1"/>
  <c r="G844" i="1" s="1"/>
  <c r="H845" i="1"/>
  <c r="J845" i="1" l="1"/>
  <c r="I845" i="1"/>
  <c r="H846" i="1"/>
  <c r="D845" i="1"/>
  <c r="G845" i="1" s="1"/>
  <c r="H847" i="1" l="1"/>
  <c r="J846" i="1"/>
  <c r="D846" i="1"/>
  <c r="G846" i="1" s="1"/>
  <c r="I846" i="1"/>
  <c r="D847" i="1" l="1"/>
  <c r="G847" i="1" s="1"/>
  <c r="I847" i="1"/>
  <c r="J847" i="1"/>
  <c r="H848" i="1"/>
  <c r="I848" i="1" l="1"/>
  <c r="D848" i="1"/>
  <c r="G848" i="1" s="1"/>
  <c r="H849" i="1"/>
  <c r="J848" i="1"/>
  <c r="I849" i="1" l="1"/>
  <c r="J849" i="1"/>
  <c r="D849" i="1"/>
  <c r="G849" i="1" s="1"/>
  <c r="H850" i="1"/>
  <c r="J850" i="1" l="1"/>
  <c r="I850" i="1"/>
  <c r="D850" i="1"/>
  <c r="G850" i="1" s="1"/>
  <c r="H851" i="1"/>
  <c r="H852" i="1" l="1"/>
  <c r="J851" i="1"/>
  <c r="I851" i="1"/>
  <c r="D851" i="1" l="1"/>
  <c r="G851" i="1" s="1"/>
  <c r="I852" i="1"/>
  <c r="J852" i="1"/>
  <c r="H853" i="1"/>
  <c r="D852" i="1"/>
  <c r="G852" i="1" s="1"/>
  <c r="I853" i="1" l="1"/>
  <c r="D853" i="1"/>
  <c r="G853" i="1" s="1"/>
  <c r="H854" i="1"/>
  <c r="J853" i="1"/>
  <c r="I854" i="1" l="1"/>
  <c r="H855" i="1"/>
  <c r="J854" i="1"/>
  <c r="D854" i="1"/>
  <c r="G854" i="1" s="1"/>
  <c r="I855" i="1" l="1"/>
  <c r="J855" i="1"/>
  <c r="D855" i="1"/>
  <c r="G855" i="1" s="1"/>
  <c r="H856" i="1"/>
  <c r="J856" i="1" l="1"/>
  <c r="I856" i="1"/>
  <c r="H857" i="1"/>
  <c r="D856" i="1"/>
  <c r="G856" i="1" s="1"/>
  <c r="D857" i="1" l="1"/>
  <c r="G857" i="1" s="1"/>
  <c r="J857" i="1"/>
  <c r="H858" i="1"/>
  <c r="I857" i="1"/>
  <c r="J858" i="1" l="1"/>
  <c r="H859" i="1"/>
  <c r="D858" i="1"/>
  <c r="G858" i="1" s="1"/>
  <c r="I858" i="1"/>
  <c r="H860" i="1" l="1"/>
  <c r="I859" i="1"/>
  <c r="D859" i="1"/>
  <c r="G859" i="1" s="1"/>
  <c r="J859" i="1"/>
  <c r="D860" i="1" l="1"/>
  <c r="G860" i="1" s="1"/>
  <c r="I860" i="1"/>
  <c r="H861" i="1"/>
  <c r="J860" i="1"/>
  <c r="H862" i="1" l="1"/>
  <c r="J861" i="1"/>
  <c r="D861" i="1"/>
  <c r="G861" i="1" s="1"/>
  <c r="I861" i="1"/>
  <c r="I862" i="1" l="1"/>
  <c r="H863" i="1"/>
  <c r="D862" i="1"/>
  <c r="G862" i="1" s="1"/>
  <c r="J862" i="1"/>
  <c r="D863" i="1" l="1"/>
  <c r="G863" i="1" s="1"/>
  <c r="H864" i="1"/>
  <c r="J863" i="1"/>
  <c r="I863" i="1"/>
  <c r="D864" i="1" l="1"/>
  <c r="G864" i="1" s="1"/>
  <c r="H865" i="1"/>
  <c r="J864" i="1"/>
  <c r="I864" i="1"/>
  <c r="D865" i="1" l="1"/>
  <c r="G865" i="1" s="1"/>
  <c r="J865" i="1"/>
  <c r="I865" i="1"/>
  <c r="H866" i="1"/>
  <c r="J866" i="1" l="1"/>
  <c r="I866" i="1"/>
  <c r="D866" i="1"/>
  <c r="G866" i="1" s="1"/>
  <c r="H867" i="1"/>
  <c r="I867" i="1" l="1"/>
  <c r="H868" i="1"/>
  <c r="J867" i="1"/>
  <c r="D867" i="1" l="1"/>
  <c r="G867" i="1" s="1"/>
  <c r="H869" i="1"/>
  <c r="J868" i="1"/>
  <c r="I868" i="1"/>
  <c r="D868" i="1"/>
  <c r="G868" i="1" s="1"/>
  <c r="I869" i="1" l="1"/>
  <c r="D869" i="1"/>
  <c r="G869" i="1" s="1"/>
  <c r="H870" i="1"/>
  <c r="J869" i="1"/>
  <c r="H871" i="1" l="1"/>
  <c r="J870" i="1"/>
  <c r="D870" i="1"/>
  <c r="G870" i="1" s="1"/>
  <c r="I870" i="1"/>
  <c r="I871" i="1" l="1"/>
  <c r="D871" i="1"/>
  <c r="G871" i="1" s="1"/>
  <c r="J871" i="1"/>
  <c r="H872" i="1"/>
  <c r="J872" i="1" l="1"/>
  <c r="I872" i="1"/>
  <c r="H873" i="1"/>
  <c r="D872" i="1"/>
  <c r="G872" i="1" s="1"/>
  <c r="J873" i="1" l="1"/>
  <c r="I873" i="1"/>
  <c r="D873" i="1"/>
  <c r="G873" i="1" s="1"/>
  <c r="H874" i="1"/>
  <c r="D874" i="1" l="1"/>
  <c r="G874" i="1" s="1"/>
  <c r="J874" i="1"/>
  <c r="I874" i="1"/>
  <c r="H875" i="1"/>
  <c r="J875" i="1" l="1"/>
  <c r="D875" i="1"/>
  <c r="G875" i="1" s="1"/>
  <c r="H876" i="1"/>
  <c r="I875" i="1"/>
  <c r="H877" i="1" l="1"/>
  <c r="I876" i="1"/>
  <c r="D876" i="1"/>
  <c r="G876" i="1" s="1"/>
  <c r="J876" i="1"/>
  <c r="D877" i="1" l="1"/>
  <c r="G877" i="1" s="1"/>
  <c r="I877" i="1"/>
  <c r="J877" i="1"/>
  <c r="H878" i="1"/>
  <c r="H879" i="1" l="1"/>
  <c r="I878" i="1"/>
  <c r="J878" i="1"/>
  <c r="D878" i="1" l="1"/>
  <c r="G878" i="1" s="1"/>
  <c r="I879" i="1"/>
  <c r="H880" i="1"/>
  <c r="D879" i="1"/>
  <c r="G879" i="1" s="1"/>
  <c r="J879" i="1"/>
  <c r="J880" i="1" l="1"/>
  <c r="D880" i="1"/>
  <c r="G880" i="1" s="1"/>
  <c r="H881" i="1"/>
  <c r="I880" i="1"/>
  <c r="H882" i="1" l="1"/>
  <c r="D881" i="1"/>
  <c r="G881" i="1" s="1"/>
  <c r="J881" i="1"/>
  <c r="I881" i="1"/>
  <c r="I882" i="1" l="1"/>
  <c r="J882" i="1"/>
  <c r="H883" i="1"/>
  <c r="D882" i="1"/>
  <c r="G882" i="1" s="1"/>
  <c r="D883" i="1" l="1"/>
  <c r="G883" i="1" s="1"/>
  <c r="H884" i="1"/>
  <c r="J883" i="1"/>
  <c r="I883" i="1"/>
  <c r="D884" i="1" l="1"/>
  <c r="G884" i="1" s="1"/>
  <c r="H885" i="1"/>
  <c r="I884" i="1"/>
  <c r="J884" i="1"/>
  <c r="I885" i="1" l="1"/>
  <c r="D885" i="1"/>
  <c r="G885" i="1" s="1"/>
  <c r="H886" i="1"/>
  <c r="J885" i="1"/>
  <c r="H887" i="1" l="1"/>
  <c r="J886" i="1"/>
  <c r="I886" i="1"/>
  <c r="D886" i="1"/>
  <c r="G886" i="1" s="1"/>
  <c r="I887" i="1" l="1"/>
  <c r="H888" i="1"/>
  <c r="J887" i="1"/>
  <c r="D887" i="1"/>
  <c r="G887" i="1" s="1"/>
  <c r="I888" i="1" l="1"/>
  <c r="H889" i="1"/>
  <c r="J888" i="1"/>
  <c r="D888" i="1"/>
  <c r="G888" i="1" s="1"/>
  <c r="D889" i="1" l="1"/>
  <c r="G889" i="1" s="1"/>
  <c r="I889" i="1"/>
  <c r="J889" i="1"/>
  <c r="H890" i="1"/>
  <c r="I890" i="1" l="1"/>
  <c r="H891" i="1"/>
  <c r="J890" i="1"/>
  <c r="D890" i="1"/>
  <c r="G890" i="1" s="1"/>
  <c r="D891" i="1" l="1"/>
  <c r="G891" i="1" s="1"/>
  <c r="J891" i="1"/>
  <c r="H892" i="1"/>
  <c r="I891" i="1"/>
  <c r="J892" i="1" l="1"/>
  <c r="D892" i="1"/>
  <c r="G892" i="1" s="1"/>
  <c r="H893" i="1"/>
  <c r="I892" i="1"/>
  <c r="J893" i="1" l="1"/>
  <c r="I893" i="1"/>
  <c r="D893" i="1"/>
  <c r="G893" i="1" s="1"/>
  <c r="H894" i="1"/>
  <c r="I894" i="1" l="1"/>
  <c r="D894" i="1"/>
  <c r="G894" i="1" s="1"/>
  <c r="H895" i="1"/>
  <c r="J894" i="1"/>
  <c r="D895" i="1" l="1"/>
  <c r="G895" i="1" s="1"/>
  <c r="H896" i="1"/>
  <c r="J895" i="1"/>
  <c r="I895" i="1"/>
  <c r="I896" i="1" l="1"/>
  <c r="D896" i="1"/>
  <c r="G896" i="1" s="1"/>
  <c r="H897" i="1"/>
  <c r="J896" i="1"/>
  <c r="J897" i="1" l="1"/>
  <c r="I897" i="1"/>
  <c r="H898" i="1"/>
  <c r="J898" i="1" l="1"/>
  <c r="H899" i="1"/>
  <c r="I898" i="1"/>
  <c r="D897" i="1"/>
  <c r="G897" i="1" s="1"/>
  <c r="D898" i="1" l="1"/>
  <c r="G898" i="1" s="1"/>
  <c r="H900" i="1"/>
  <c r="J899" i="1"/>
  <c r="I899" i="1"/>
  <c r="D899" i="1"/>
  <c r="G899" i="1" s="1"/>
  <c r="J900" i="1" l="1"/>
  <c r="D900" i="1"/>
  <c r="G900" i="1" s="1"/>
  <c r="H901" i="1"/>
  <c r="I900" i="1"/>
  <c r="D901" i="1" l="1"/>
  <c r="G901" i="1" s="1"/>
  <c r="J901" i="1"/>
  <c r="I901" i="1"/>
  <c r="H902" i="1"/>
  <c r="J902" i="1" l="1"/>
  <c r="I902" i="1"/>
  <c r="H903" i="1"/>
  <c r="D902" i="1"/>
  <c r="G902" i="1" s="1"/>
  <c r="D903" i="1" l="1"/>
  <c r="G903" i="1" s="1"/>
  <c r="H904" i="1"/>
  <c r="J903" i="1"/>
  <c r="I903" i="1"/>
  <c r="D904" i="1" l="1"/>
  <c r="G904" i="1" s="1"/>
  <c r="H905" i="1"/>
  <c r="J904" i="1"/>
  <c r="I904" i="1"/>
  <c r="J905" i="1" l="1"/>
  <c r="H906" i="1"/>
  <c r="I905" i="1"/>
  <c r="D905" i="1"/>
  <c r="G905" i="1" s="1"/>
  <c r="H907" i="1" l="1"/>
  <c r="D906" i="1"/>
  <c r="G906" i="1" s="1"/>
  <c r="J906" i="1"/>
  <c r="I906" i="1"/>
  <c r="I907" i="1" l="1"/>
  <c r="H908" i="1"/>
  <c r="D907" i="1"/>
  <c r="G907" i="1" s="1"/>
  <c r="J907" i="1"/>
  <c r="D908" i="1" l="1"/>
  <c r="G908" i="1" s="1"/>
  <c r="J908" i="1"/>
  <c r="H909" i="1"/>
  <c r="I908" i="1"/>
  <c r="J909" i="1" l="1"/>
  <c r="I909" i="1"/>
  <c r="H910" i="1"/>
  <c r="D909" i="1"/>
  <c r="G909" i="1" s="1"/>
  <c r="D910" i="1" l="1"/>
  <c r="G910" i="1" s="1"/>
  <c r="I910" i="1"/>
  <c r="J910" i="1"/>
  <c r="H911" i="1"/>
  <c r="J911" i="1" l="1"/>
  <c r="I911" i="1"/>
  <c r="H912" i="1"/>
  <c r="D911" i="1"/>
  <c r="G911" i="1" s="1"/>
  <c r="H913" i="1" l="1"/>
  <c r="D912" i="1"/>
  <c r="G912" i="1" s="1"/>
  <c r="I912" i="1"/>
  <c r="J912" i="1"/>
  <c r="H914" i="1" l="1"/>
  <c r="I913" i="1"/>
  <c r="D913" i="1"/>
  <c r="G913" i="1" s="1"/>
  <c r="J913" i="1"/>
  <c r="I914" i="1" l="1"/>
  <c r="H915" i="1"/>
  <c r="D914" i="1"/>
  <c r="G914" i="1" s="1"/>
  <c r="J914" i="1"/>
  <c r="H916" i="1" l="1"/>
  <c r="D915" i="1"/>
  <c r="G915" i="1" s="1"/>
  <c r="J915" i="1"/>
  <c r="I915" i="1"/>
  <c r="D916" i="1" l="1"/>
  <c r="G916" i="1" s="1"/>
  <c r="I916" i="1"/>
  <c r="H917" i="1"/>
  <c r="J916" i="1"/>
  <c r="D917" i="1" l="1"/>
  <c r="G917" i="1" s="1"/>
  <c r="H918" i="1"/>
  <c r="I917" i="1"/>
  <c r="J917" i="1"/>
  <c r="I918" i="1" l="1"/>
  <c r="J918" i="1"/>
  <c r="D918" i="1"/>
  <c r="G918" i="1" s="1"/>
  <c r="H919" i="1"/>
  <c r="H920" i="1" l="1"/>
  <c r="J919" i="1"/>
  <c r="I919" i="1"/>
  <c r="D919" i="1"/>
  <c r="G919" i="1" s="1"/>
  <c r="I920" i="1" l="1"/>
  <c r="D920" i="1"/>
  <c r="G920" i="1" s="1"/>
  <c r="J920" i="1"/>
  <c r="H921" i="1"/>
  <c r="J921" i="1" l="1"/>
  <c r="I921" i="1"/>
  <c r="H922" i="1"/>
  <c r="D921" i="1"/>
  <c r="G921" i="1" s="1"/>
  <c r="J922" i="1" l="1"/>
  <c r="I922" i="1"/>
  <c r="D922" i="1"/>
  <c r="G922" i="1" s="1"/>
  <c r="H923" i="1"/>
  <c r="J923" i="1" l="1"/>
  <c r="H924" i="1"/>
  <c r="D923" i="1"/>
  <c r="G923" i="1" s="1"/>
  <c r="I923" i="1"/>
  <c r="D924" i="1" l="1"/>
  <c r="G924" i="1" s="1"/>
  <c r="H925" i="1"/>
  <c r="J924" i="1"/>
  <c r="I924" i="1"/>
  <c r="J925" i="1" l="1"/>
  <c r="D925" i="1"/>
  <c r="G925" i="1" s="1"/>
  <c r="H926" i="1"/>
  <c r="I925" i="1"/>
  <c r="I926" i="1" l="1"/>
  <c r="D926" i="1"/>
  <c r="G926" i="1" s="1"/>
  <c r="J926" i="1"/>
  <c r="H927" i="1"/>
  <c r="I927" i="1" l="1"/>
  <c r="J927" i="1"/>
  <c r="H928" i="1"/>
  <c r="D927" i="1"/>
  <c r="G927" i="1" s="1"/>
  <c r="D928" i="1" l="1"/>
  <c r="G928" i="1" s="1"/>
  <c r="I928" i="1"/>
  <c r="J928" i="1"/>
  <c r="H929" i="1"/>
  <c r="H930" i="1" l="1"/>
  <c r="J929" i="1"/>
  <c r="I929" i="1"/>
  <c r="D929" i="1"/>
  <c r="G929" i="1" s="1"/>
  <c r="J930" i="1" l="1"/>
  <c r="H931" i="1"/>
  <c r="I930" i="1"/>
  <c r="D930" i="1"/>
  <c r="G930" i="1" s="1"/>
  <c r="I931" i="1" l="1"/>
  <c r="J931" i="1"/>
  <c r="D931" i="1"/>
  <c r="G931" i="1" s="1"/>
  <c r="H932" i="1"/>
  <c r="H933" i="1" l="1"/>
  <c r="D932" i="1"/>
  <c r="G932" i="1" s="1"/>
  <c r="I932" i="1"/>
  <c r="J932" i="1"/>
  <c r="H934" i="1" l="1"/>
  <c r="J933" i="1"/>
  <c r="D933" i="1"/>
  <c r="G933" i="1" s="1"/>
  <c r="I933" i="1"/>
  <c r="I934" i="1" l="1"/>
  <c r="H935" i="1"/>
  <c r="D934" i="1"/>
  <c r="G934" i="1" s="1"/>
  <c r="J934" i="1"/>
  <c r="J935" i="1" l="1"/>
  <c r="D935" i="1"/>
  <c r="G935" i="1" s="1"/>
  <c r="H936" i="1"/>
  <c r="I935" i="1"/>
  <c r="H937" i="1" l="1"/>
  <c r="J936" i="1"/>
  <c r="I936" i="1"/>
  <c r="D936" i="1"/>
  <c r="G936" i="1" s="1"/>
  <c r="H938" i="1" l="1"/>
  <c r="J937" i="1"/>
  <c r="I937" i="1"/>
  <c r="D937" i="1"/>
  <c r="G937" i="1" s="1"/>
  <c r="H939" i="1" l="1"/>
  <c r="J938" i="1"/>
  <c r="I938" i="1"/>
  <c r="D938" i="1"/>
  <c r="G938" i="1" s="1"/>
  <c r="I939" i="1" l="1"/>
  <c r="J939" i="1"/>
  <c r="D939" i="1"/>
  <c r="G939" i="1" s="1"/>
  <c r="H940" i="1"/>
  <c r="D940" i="1" l="1"/>
  <c r="G940" i="1" s="1"/>
  <c r="H941" i="1"/>
  <c r="J940" i="1"/>
  <c r="I940" i="1"/>
  <c r="D941" i="1" l="1"/>
  <c r="G941" i="1" s="1"/>
  <c r="I941" i="1"/>
  <c r="J941" i="1"/>
  <c r="H942" i="1"/>
  <c r="J942" i="1" l="1"/>
  <c r="I942" i="1"/>
  <c r="D942" i="1"/>
  <c r="G942" i="1" s="1"/>
  <c r="H943" i="1"/>
  <c r="H944" i="1" l="1"/>
  <c r="D943" i="1"/>
  <c r="G943" i="1" s="1"/>
  <c r="J943" i="1"/>
  <c r="I943" i="1"/>
  <c r="H945" i="1" l="1"/>
  <c r="I944" i="1"/>
  <c r="J944" i="1"/>
  <c r="H946" i="1" l="1"/>
  <c r="J945" i="1"/>
  <c r="I945" i="1"/>
  <c r="D945" i="1"/>
  <c r="G945" i="1" s="1"/>
  <c r="D944" i="1"/>
  <c r="G944" i="1" s="1"/>
  <c r="I946" i="1" l="1"/>
  <c r="J946" i="1"/>
  <c r="D946" i="1"/>
  <c r="G946" i="1" s="1"/>
  <c r="H947" i="1"/>
  <c r="H948" i="1" l="1"/>
  <c r="J947" i="1"/>
  <c r="D947" i="1"/>
  <c r="G947" i="1" s="1"/>
  <c r="I947" i="1"/>
  <c r="I948" i="1" l="1"/>
  <c r="J948" i="1"/>
  <c r="H949" i="1"/>
  <c r="J949" i="1" l="1"/>
  <c r="H950" i="1"/>
  <c r="I949" i="1"/>
  <c r="D949" i="1"/>
  <c r="G949" i="1" s="1"/>
  <c r="D948" i="1"/>
  <c r="G948" i="1" s="1"/>
  <c r="I950" i="1" l="1"/>
  <c r="J950" i="1"/>
  <c r="H951" i="1"/>
  <c r="D950" i="1"/>
  <c r="G950" i="1" s="1"/>
  <c r="D951" i="1" l="1"/>
  <c r="G951" i="1" s="1"/>
  <c r="J951" i="1"/>
  <c r="I951" i="1"/>
  <c r="H952" i="1"/>
  <c r="J952" i="1" l="1"/>
  <c r="H953" i="1"/>
  <c r="D952" i="1"/>
  <c r="G952" i="1" s="1"/>
  <c r="I952" i="1"/>
  <c r="J953" i="1" l="1"/>
  <c r="D953" i="1"/>
  <c r="G953" i="1" s="1"/>
  <c r="I953" i="1"/>
  <c r="H954" i="1"/>
  <c r="H955" i="1" l="1"/>
  <c r="D954" i="1"/>
  <c r="G954" i="1" s="1"/>
  <c r="J954" i="1"/>
  <c r="I954" i="1"/>
  <c r="I955" i="1" l="1"/>
  <c r="D955" i="1"/>
  <c r="G955" i="1" s="1"/>
  <c r="J955" i="1"/>
  <c r="H956" i="1"/>
  <c r="D956" i="1" l="1"/>
  <c r="G956" i="1" s="1"/>
  <c r="I956" i="1"/>
  <c r="H957" i="1"/>
  <c r="J956" i="1"/>
  <c r="H958" i="1" l="1"/>
  <c r="I957" i="1"/>
  <c r="J957" i="1"/>
  <c r="D957" i="1"/>
  <c r="G957" i="1" s="1"/>
  <c r="J958" i="1" l="1"/>
  <c r="D958" i="1"/>
  <c r="G958" i="1" s="1"/>
  <c r="I958" i="1"/>
  <c r="H959" i="1"/>
  <c r="J959" i="1" l="1"/>
  <c r="D959" i="1"/>
  <c r="G959" i="1" s="1"/>
  <c r="H960" i="1"/>
  <c r="I959" i="1"/>
  <c r="I960" i="1" l="1"/>
  <c r="J960" i="1"/>
  <c r="D960" i="1"/>
  <c r="G960" i="1" s="1"/>
  <c r="H961" i="1"/>
  <c r="H962" i="1" l="1"/>
  <c r="J961" i="1"/>
  <c r="D961" i="1"/>
  <c r="G961" i="1" s="1"/>
  <c r="I961" i="1"/>
  <c r="H963" i="1" l="1"/>
  <c r="D962" i="1"/>
  <c r="G962" i="1" s="1"/>
  <c r="I962" i="1"/>
  <c r="J962" i="1"/>
  <c r="D963" i="1" l="1"/>
  <c r="G963" i="1" s="1"/>
  <c r="H964" i="1"/>
  <c r="J963" i="1"/>
  <c r="I963" i="1"/>
  <c r="D964" i="1" l="1"/>
  <c r="G964" i="1" s="1"/>
  <c r="J964" i="1"/>
  <c r="H965" i="1"/>
  <c r="I964" i="1"/>
  <c r="H966" i="1" l="1"/>
  <c r="I965" i="1"/>
  <c r="D965" i="1"/>
  <c r="G965" i="1" s="1"/>
  <c r="J965" i="1"/>
  <c r="J966" i="1" l="1"/>
  <c r="H967" i="1"/>
  <c r="D966" i="1"/>
  <c r="G966" i="1" s="1"/>
  <c r="I966" i="1"/>
  <c r="I967" i="1" l="1"/>
  <c r="D967" i="1"/>
  <c r="G967" i="1" s="1"/>
  <c r="J967" i="1"/>
  <c r="H968" i="1"/>
  <c r="D968" i="1" l="1"/>
  <c r="G968" i="1" s="1"/>
  <c r="J968" i="1"/>
  <c r="H969" i="1"/>
  <c r="I968" i="1"/>
  <c r="I969" i="1" l="1"/>
  <c r="D969" i="1"/>
  <c r="G969" i="1" s="1"/>
  <c r="H970" i="1"/>
  <c r="J969" i="1"/>
  <c r="I970" i="1" l="1"/>
  <c r="J970" i="1"/>
  <c r="D970" i="1"/>
  <c r="G970" i="1" s="1"/>
  <c r="H971" i="1"/>
  <c r="D971" i="1" l="1"/>
  <c r="G971" i="1" s="1"/>
  <c r="H972" i="1"/>
  <c r="J971" i="1"/>
  <c r="I971" i="1"/>
  <c r="J972" i="1" l="1"/>
  <c r="H973" i="1"/>
  <c r="D972" i="1"/>
  <c r="G972" i="1" s="1"/>
  <c r="I972" i="1"/>
  <c r="J973" i="1" l="1"/>
  <c r="I973" i="1"/>
  <c r="D973" i="1"/>
  <c r="G973" i="1" s="1"/>
  <c r="H974" i="1"/>
  <c r="H975" i="1" l="1"/>
  <c r="D974" i="1"/>
  <c r="G974" i="1" s="1"/>
  <c r="J974" i="1"/>
  <c r="I974" i="1"/>
  <c r="I975" i="1" l="1"/>
  <c r="H976" i="1"/>
  <c r="D975" i="1"/>
  <c r="G975" i="1" s="1"/>
  <c r="J975" i="1"/>
  <c r="H977" i="1" l="1"/>
  <c r="I976" i="1"/>
  <c r="D976" i="1"/>
  <c r="G976" i="1" s="1"/>
  <c r="J976" i="1"/>
  <c r="J977" i="1" l="1"/>
  <c r="I977" i="1"/>
  <c r="H978" i="1"/>
  <c r="D977" i="1"/>
  <c r="G977" i="1" s="1"/>
  <c r="D978" i="1" l="1"/>
  <c r="G978" i="1" s="1"/>
  <c r="I978" i="1"/>
  <c r="J978" i="1"/>
  <c r="H979" i="1"/>
  <c r="D979" i="1" l="1"/>
  <c r="G979" i="1" s="1"/>
  <c r="I979" i="1"/>
  <c r="J979" i="1"/>
  <c r="H980" i="1"/>
  <c r="I980" i="1" l="1"/>
  <c r="H981" i="1"/>
  <c r="D980" i="1"/>
  <c r="G980" i="1" s="1"/>
  <c r="J980" i="1"/>
  <c r="H982" i="1" l="1"/>
  <c r="J981" i="1"/>
  <c r="D981" i="1"/>
  <c r="G981" i="1" s="1"/>
  <c r="I981" i="1"/>
  <c r="D982" i="1" l="1"/>
  <c r="G982" i="1" s="1"/>
  <c r="J982" i="1"/>
  <c r="I982" i="1"/>
  <c r="H983" i="1"/>
  <c r="H984" i="1" l="1"/>
  <c r="J983" i="1"/>
  <c r="D983" i="1"/>
  <c r="G983" i="1" s="1"/>
  <c r="I983" i="1"/>
  <c r="J984" i="1" l="1"/>
  <c r="D984" i="1"/>
  <c r="G984" i="1" s="1"/>
  <c r="I984" i="1"/>
  <c r="H985" i="1"/>
  <c r="H986" i="1" l="1"/>
  <c r="J985" i="1"/>
  <c r="I985" i="1"/>
  <c r="D985" i="1"/>
  <c r="G985" i="1" s="1"/>
  <c r="H987" i="1" l="1"/>
  <c r="J986" i="1"/>
  <c r="D986" i="1"/>
  <c r="G986" i="1" s="1"/>
  <c r="I986" i="1"/>
  <c r="H988" i="1" l="1"/>
  <c r="J987" i="1"/>
  <c r="D987" i="1"/>
  <c r="G987" i="1" s="1"/>
  <c r="I987" i="1"/>
  <c r="I988" i="1" l="1"/>
  <c r="H989" i="1"/>
  <c r="J988" i="1"/>
  <c r="D988" i="1"/>
  <c r="G988" i="1" s="1"/>
  <c r="D989" i="1" l="1"/>
  <c r="G989" i="1" s="1"/>
  <c r="H990" i="1"/>
  <c r="I989" i="1"/>
  <c r="J989" i="1"/>
  <c r="I990" i="1" l="1"/>
  <c r="J990" i="1"/>
  <c r="D990" i="1"/>
  <c r="G990" i="1" s="1"/>
  <c r="H991" i="1"/>
  <c r="D991" i="1" l="1"/>
  <c r="G991" i="1" s="1"/>
  <c r="I991" i="1"/>
  <c r="H992" i="1"/>
  <c r="J991" i="1"/>
  <c r="I992" i="1" l="1"/>
  <c r="D992" i="1"/>
  <c r="G992" i="1" s="1"/>
  <c r="H993" i="1"/>
  <c r="J992" i="1"/>
  <c r="J993" i="1" l="1"/>
  <c r="I993" i="1"/>
  <c r="H994" i="1"/>
  <c r="D993" i="1"/>
  <c r="G993" i="1" s="1"/>
  <c r="J994" i="1" l="1"/>
  <c r="H995" i="1"/>
  <c r="D994" i="1"/>
  <c r="G994" i="1" s="1"/>
  <c r="I994" i="1"/>
  <c r="J995" i="1" l="1"/>
  <c r="H996" i="1"/>
  <c r="I995" i="1"/>
  <c r="D995" i="1"/>
  <c r="G995" i="1" s="1"/>
  <c r="D996" i="1" l="1"/>
  <c r="G996" i="1" s="1"/>
  <c r="H997" i="1"/>
  <c r="J996" i="1"/>
  <c r="I996" i="1"/>
  <c r="H998" i="1" l="1"/>
  <c r="I997" i="1"/>
  <c r="J997" i="1"/>
  <c r="D997" i="1" l="1"/>
  <c r="G997" i="1" s="1"/>
  <c r="J998" i="1"/>
  <c r="I998" i="1"/>
  <c r="D998" i="1"/>
  <c r="G998" i="1" s="1"/>
  <c r="H999" i="1"/>
  <c r="H1000" i="1" l="1"/>
  <c r="D999" i="1"/>
  <c r="G999" i="1" s="1"/>
  <c r="J999" i="1"/>
  <c r="I999" i="1"/>
  <c r="I1000" i="1" l="1"/>
  <c r="J1000" i="1"/>
  <c r="D1000" i="1"/>
  <c r="G1000" i="1" s="1"/>
  <c r="H1001" i="1"/>
  <c r="H1002" i="1" l="1"/>
  <c r="J1001" i="1"/>
  <c r="D1001" i="1"/>
  <c r="G1001" i="1" s="1"/>
  <c r="I1001" i="1"/>
  <c r="I1002" i="1" l="1"/>
  <c r="D1002" i="1"/>
  <c r="G1002" i="1" s="1"/>
  <c r="H1003" i="1"/>
  <c r="J1002" i="1"/>
  <c r="D1003" i="1" l="1"/>
  <c r="G1003" i="1" s="1"/>
  <c r="H1004" i="1"/>
  <c r="I1003" i="1"/>
  <c r="J1003" i="1"/>
  <c r="J1004" i="1" l="1"/>
  <c r="D1004" i="1"/>
  <c r="G1004" i="1" s="1"/>
  <c r="I1004" i="1"/>
  <c r="H1005" i="1"/>
  <c r="H1006" i="1" l="1"/>
  <c r="D1005" i="1"/>
  <c r="G1005" i="1" s="1"/>
  <c r="J1005" i="1"/>
  <c r="I1005" i="1"/>
  <c r="J1006" i="1" l="1"/>
  <c r="I1006" i="1"/>
  <c r="H1007" i="1"/>
  <c r="D1006" i="1"/>
  <c r="G1006" i="1" s="1"/>
  <c r="J1007" i="1" l="1"/>
  <c r="H1008" i="1"/>
  <c r="D1007" i="1"/>
  <c r="G1007" i="1" s="1"/>
  <c r="I1007" i="1"/>
  <c r="H1009" i="1" l="1"/>
  <c r="I1008" i="1"/>
  <c r="J1008" i="1"/>
  <c r="D1008" i="1"/>
  <c r="G1008" i="1" s="1"/>
  <c r="D1009" i="1" l="1"/>
  <c r="G1009" i="1" s="1"/>
  <c r="H1010" i="1"/>
  <c r="J1009" i="1"/>
  <c r="I1009" i="1"/>
  <c r="H1011" i="1" l="1"/>
  <c r="I1010" i="1"/>
  <c r="J1010" i="1"/>
  <c r="D1010" i="1"/>
  <c r="G1010" i="1" s="1"/>
  <c r="D1011" i="1" l="1"/>
  <c r="G1011" i="1" s="1"/>
  <c r="J1011" i="1"/>
  <c r="I1011" i="1"/>
  <c r="H1012" i="1"/>
  <c r="J1012" i="1" l="1"/>
  <c r="H1013" i="1"/>
  <c r="D1012" i="1"/>
  <c r="G1012" i="1" s="1"/>
  <c r="I1012" i="1"/>
  <c r="D1013" i="1" l="1"/>
  <c r="G1013" i="1" s="1"/>
  <c r="I1013" i="1"/>
  <c r="J1013" i="1"/>
  <c r="H1014" i="1"/>
  <c r="I1014" i="1" l="1"/>
  <c r="H1015" i="1"/>
  <c r="J1014" i="1"/>
  <c r="D1014" i="1"/>
  <c r="G1014" i="1" s="1"/>
  <c r="J1015" i="1" l="1"/>
  <c r="I1015" i="1"/>
  <c r="H1016" i="1"/>
  <c r="D1015" i="1"/>
  <c r="G1015" i="1" s="1"/>
  <c r="I1016" i="1" l="1"/>
  <c r="J1016" i="1"/>
  <c r="H1017" i="1"/>
  <c r="D1016" i="1"/>
  <c r="G1016" i="1" s="1"/>
  <c r="J1017" i="1" l="1"/>
  <c r="H1018" i="1"/>
  <c r="I1017" i="1"/>
  <c r="D1017" i="1"/>
  <c r="G1017" i="1" s="1"/>
  <c r="I1018" i="1" l="1"/>
  <c r="J1018" i="1"/>
  <c r="D1018" i="1"/>
  <c r="G1018" i="1" s="1"/>
  <c r="H1019" i="1"/>
  <c r="J1019" i="1" l="1"/>
  <c r="H1020" i="1"/>
  <c r="D1019" i="1"/>
  <c r="G1019" i="1" s="1"/>
  <c r="I1019" i="1"/>
  <c r="H1021" i="1" l="1"/>
  <c r="I1020" i="1"/>
  <c r="J1020" i="1"/>
  <c r="D1020" i="1"/>
  <c r="G1020" i="1" s="1"/>
  <c r="H1022" i="1" l="1"/>
  <c r="J1021" i="1"/>
  <c r="I1021" i="1"/>
  <c r="D1021" i="1" l="1"/>
  <c r="G1021" i="1" s="1"/>
  <c r="J1022" i="1"/>
  <c r="H1023" i="1"/>
  <c r="I1022" i="1"/>
  <c r="D1022" i="1" l="1"/>
  <c r="G1022" i="1" s="1"/>
  <c r="H1024" i="1"/>
  <c r="I1023" i="1"/>
  <c r="D1023" i="1"/>
  <c r="G1023" i="1" s="1"/>
  <c r="J1023" i="1"/>
  <c r="H1025" i="1" l="1"/>
  <c r="I1024" i="1"/>
  <c r="D1024" i="1"/>
  <c r="G1024" i="1" s="1"/>
  <c r="J1024" i="1"/>
  <c r="H1026" i="1" l="1"/>
  <c r="D1025" i="1"/>
  <c r="G1025" i="1" s="1"/>
  <c r="I1025" i="1"/>
  <c r="J1025" i="1"/>
  <c r="I1026" i="1" l="1"/>
  <c r="J1026" i="1"/>
  <c r="H1027" i="1"/>
  <c r="H1028" i="1" l="1"/>
  <c r="I1027" i="1"/>
  <c r="D1027" i="1"/>
  <c r="G1027" i="1" s="1"/>
  <c r="J1027" i="1"/>
  <c r="D1026" i="1"/>
  <c r="G1026" i="1" s="1"/>
  <c r="H1029" i="1" l="1"/>
  <c r="D1028" i="1"/>
  <c r="G1028" i="1" s="1"/>
  <c r="J1028" i="1"/>
  <c r="I1028" i="1"/>
  <c r="H1030" i="1" l="1"/>
  <c r="I1029" i="1"/>
  <c r="J1029" i="1"/>
  <c r="D1029" i="1"/>
  <c r="G1029" i="1" s="1"/>
  <c r="H1031" i="1" l="1"/>
  <c r="I1030" i="1"/>
  <c r="J1030" i="1"/>
  <c r="D1030" i="1"/>
  <c r="G1030" i="1" s="1"/>
  <c r="D1031" i="1" l="1"/>
  <c r="G1031" i="1" s="1"/>
  <c r="J1031" i="1"/>
  <c r="H1032" i="1"/>
  <c r="I1031" i="1"/>
  <c r="D1032" i="1" l="1"/>
  <c r="G1032" i="1" s="1"/>
  <c r="I1032" i="1"/>
  <c r="H1033" i="1"/>
  <c r="J1032" i="1"/>
  <c r="J1033" i="1" l="1"/>
  <c r="H1034" i="1"/>
  <c r="D1033" i="1"/>
  <c r="G1033" i="1" s="1"/>
  <c r="I1033" i="1"/>
  <c r="D1034" i="1" l="1"/>
  <c r="G1034" i="1" s="1"/>
  <c r="J1034" i="1"/>
  <c r="H1035" i="1"/>
  <c r="I1034" i="1"/>
  <c r="J1035" i="1" l="1"/>
  <c r="D1035" i="1"/>
  <c r="G1035" i="1" s="1"/>
  <c r="H1036" i="1"/>
  <c r="I1035" i="1"/>
  <c r="I1036" i="1" l="1"/>
  <c r="D1036" i="1"/>
  <c r="G1036" i="1" s="1"/>
  <c r="J1036" i="1"/>
  <c r="H1037" i="1"/>
  <c r="I1037" i="1" l="1"/>
  <c r="D1037" i="1"/>
  <c r="G1037" i="1" s="1"/>
  <c r="H1038" i="1"/>
  <c r="J1037" i="1"/>
  <c r="I1038" i="1" l="1"/>
  <c r="J1038" i="1"/>
  <c r="H1039" i="1"/>
  <c r="D1038" i="1" l="1"/>
  <c r="G1038" i="1" s="1"/>
  <c r="H1040" i="1"/>
  <c r="J1039" i="1"/>
  <c r="I1039" i="1"/>
  <c r="D1039" i="1" l="1"/>
  <c r="G1039" i="1" s="1"/>
  <c r="J1040" i="1"/>
  <c r="H1041" i="1"/>
  <c r="D1040" i="1"/>
  <c r="G1040" i="1" s="1"/>
  <c r="I1040" i="1"/>
  <c r="H1042" i="1" l="1"/>
  <c r="I1041" i="1"/>
  <c r="J1041" i="1"/>
  <c r="D1041" i="1"/>
  <c r="G1041" i="1" s="1"/>
  <c r="H1043" i="1" l="1"/>
  <c r="D1042" i="1"/>
  <c r="G1042" i="1" s="1"/>
  <c r="J1042" i="1"/>
  <c r="I1042" i="1"/>
  <c r="D1043" i="1" l="1"/>
  <c r="G1043" i="1" s="1"/>
  <c r="H1044" i="1"/>
  <c r="I1043" i="1"/>
  <c r="J1043" i="1"/>
  <c r="D1044" i="1" l="1"/>
  <c r="G1044" i="1" s="1"/>
  <c r="H1045" i="1"/>
  <c r="J1044" i="1"/>
  <c r="I1044" i="1"/>
  <c r="J1045" i="1" l="1"/>
  <c r="I1045" i="1"/>
  <c r="H1046" i="1"/>
  <c r="D1045" i="1"/>
  <c r="G1045" i="1" s="1"/>
  <c r="H1047" i="1" l="1"/>
  <c r="I1046" i="1"/>
  <c r="J1046" i="1"/>
  <c r="D1046" i="1" l="1"/>
  <c r="G1046" i="1" s="1"/>
  <c r="I1047" i="1"/>
  <c r="J1047" i="1"/>
  <c r="H1048" i="1"/>
  <c r="I1048" i="1" l="1"/>
  <c r="J1048" i="1"/>
  <c r="H1049" i="1"/>
  <c r="D1047" i="1"/>
  <c r="G1047" i="1" s="1"/>
  <c r="H1050" i="1" l="1"/>
  <c r="J1049" i="1"/>
  <c r="I1049" i="1"/>
  <c r="D1049" i="1"/>
  <c r="G1049" i="1" s="1"/>
  <c r="D1048" i="1"/>
  <c r="G1048" i="1" s="1"/>
  <c r="I1050" i="1" l="1"/>
  <c r="H1051" i="1"/>
  <c r="J1050" i="1"/>
  <c r="D1050" i="1" l="1"/>
  <c r="G1050" i="1" s="1"/>
  <c r="I1051" i="1"/>
  <c r="H1052" i="1"/>
  <c r="J1051" i="1"/>
  <c r="D1051" i="1" l="1"/>
  <c r="G1051" i="1" s="1"/>
  <c r="H1053" i="1"/>
  <c r="J1052" i="1"/>
  <c r="I1052" i="1"/>
  <c r="D1052" i="1" l="1"/>
  <c r="G1052" i="1" s="1"/>
  <c r="H1054" i="1"/>
  <c r="J1053" i="1"/>
  <c r="I1053" i="1"/>
  <c r="D1053" i="1" l="1"/>
  <c r="G1053" i="1" s="1"/>
  <c r="J1054" i="1"/>
  <c r="H1055" i="1"/>
  <c r="I1054" i="1"/>
  <c r="J1055" i="1" l="1"/>
  <c r="D1055" i="1"/>
  <c r="G1055" i="1" s="1"/>
  <c r="H1056" i="1"/>
  <c r="I1055" i="1"/>
  <c r="D1054" i="1"/>
  <c r="G1054" i="1" s="1"/>
  <c r="H1057" i="1" l="1"/>
  <c r="I1056" i="1"/>
  <c r="D1056" i="1"/>
  <c r="G1056" i="1" s="1"/>
  <c r="J1056" i="1"/>
  <c r="J1057" i="1" l="1"/>
  <c r="H1058" i="1"/>
  <c r="D1057" i="1"/>
  <c r="G1057" i="1" s="1"/>
  <c r="I1057" i="1"/>
  <c r="I1058" i="1" l="1"/>
  <c r="H1059" i="1"/>
  <c r="J1058" i="1"/>
  <c r="D1058" i="1" l="1"/>
  <c r="G1058" i="1" s="1"/>
  <c r="H1060" i="1"/>
  <c r="J1059" i="1"/>
  <c r="D1059" i="1"/>
  <c r="G1059" i="1" s="1"/>
  <c r="I1059" i="1"/>
  <c r="I1060" i="1" l="1"/>
  <c r="H1061" i="1"/>
  <c r="J1060" i="1"/>
  <c r="D1060" i="1"/>
  <c r="G1060" i="1" s="1"/>
  <c r="J1061" i="1" l="1"/>
  <c r="H1062" i="1"/>
  <c r="I1061" i="1"/>
  <c r="D1061" i="1" l="1"/>
  <c r="G1061" i="1" s="1"/>
  <c r="H1063" i="1"/>
  <c r="J1062" i="1"/>
  <c r="I1062" i="1"/>
  <c r="D1062" i="1"/>
  <c r="G1062" i="1" s="1"/>
  <c r="D1063" i="1" l="1"/>
  <c r="G1063" i="1" s="1"/>
  <c r="H1064" i="1"/>
  <c r="J1063" i="1"/>
  <c r="I1063" i="1"/>
  <c r="J1064" i="1" l="1"/>
  <c r="D1064" i="1"/>
  <c r="G1064" i="1" s="1"/>
  <c r="I1064" i="1"/>
  <c r="H1065" i="1"/>
  <c r="H1066" i="1" l="1"/>
  <c r="I1065" i="1"/>
  <c r="J1065" i="1"/>
  <c r="D1065" i="1" l="1"/>
  <c r="G1065" i="1" s="1"/>
  <c r="J1066" i="1"/>
  <c r="D1066" i="1"/>
  <c r="G1066" i="1" s="1"/>
  <c r="H1067" i="1"/>
  <c r="I1066" i="1"/>
  <c r="I1067" i="1" l="1"/>
  <c r="D1067" i="1"/>
  <c r="G1067" i="1" s="1"/>
  <c r="J1067" i="1"/>
  <c r="H1068" i="1"/>
  <c r="D1068" i="1" l="1"/>
  <c r="G1068" i="1" s="1"/>
  <c r="I1068" i="1"/>
  <c r="J1068" i="1"/>
  <c r="H1069" i="1"/>
  <c r="J1069" i="1" l="1"/>
  <c r="D1069" i="1"/>
  <c r="G1069" i="1" s="1"/>
  <c r="H1070" i="1"/>
  <c r="I1069" i="1"/>
  <c r="I1070" i="1" l="1"/>
  <c r="H1071" i="1"/>
  <c r="J1070" i="1"/>
  <c r="D1070" i="1"/>
  <c r="G1070" i="1" s="1"/>
  <c r="D1071" i="1" l="1"/>
  <c r="G1071" i="1" s="1"/>
  <c r="I1071" i="1"/>
  <c r="H1072" i="1"/>
  <c r="J1071" i="1"/>
  <c r="H1073" i="1" l="1"/>
  <c r="D1072" i="1"/>
  <c r="G1072" i="1" s="1"/>
  <c r="J1072" i="1"/>
  <c r="I1072" i="1"/>
  <c r="I1073" i="1" l="1"/>
  <c r="J1073" i="1"/>
  <c r="H1074" i="1"/>
  <c r="D1073" i="1"/>
  <c r="G1073" i="1" s="1"/>
  <c r="H1075" i="1" l="1"/>
  <c r="J1074" i="1"/>
  <c r="D1074" i="1"/>
  <c r="G1074" i="1" s="1"/>
  <c r="I1074" i="1"/>
  <c r="J1075" i="1" l="1"/>
  <c r="I1075" i="1"/>
  <c r="H1076" i="1"/>
  <c r="D1075" i="1"/>
  <c r="G1075" i="1" s="1"/>
  <c r="I1076" i="1" l="1"/>
  <c r="H1077" i="1"/>
  <c r="D1076" i="1"/>
  <c r="G1076" i="1" s="1"/>
  <c r="J1076" i="1"/>
  <c r="J1077" i="1" l="1"/>
  <c r="D1077" i="1"/>
  <c r="G1077" i="1" s="1"/>
  <c r="H1078" i="1"/>
  <c r="I1077" i="1"/>
  <c r="I1078" i="1" l="1"/>
  <c r="H1079" i="1"/>
  <c r="J1078" i="1"/>
  <c r="D1078" i="1"/>
  <c r="G1078" i="1" s="1"/>
  <c r="D1079" i="1" l="1"/>
  <c r="G1079" i="1" s="1"/>
  <c r="H1080" i="1"/>
  <c r="J1079" i="1"/>
  <c r="I1079" i="1"/>
  <c r="J1080" i="1" l="1"/>
  <c r="D1080" i="1"/>
  <c r="G1080" i="1" s="1"/>
  <c r="H1081" i="1"/>
  <c r="I1080" i="1"/>
  <c r="D1081" i="1" l="1"/>
  <c r="G1081" i="1" s="1"/>
  <c r="I1081" i="1"/>
  <c r="J1081" i="1"/>
  <c r="H1082" i="1"/>
  <c r="J1082" i="1" l="1"/>
  <c r="H1083" i="1"/>
  <c r="D1082" i="1"/>
  <c r="G1082" i="1" s="1"/>
  <c r="I1082" i="1"/>
  <c r="I1083" i="1" l="1"/>
  <c r="H1084" i="1"/>
  <c r="D1083" i="1"/>
  <c r="G1083" i="1" s="1"/>
  <c r="J1083" i="1"/>
  <c r="J1084" i="1" l="1"/>
  <c r="H1085" i="1"/>
  <c r="D1084" i="1"/>
  <c r="G1084" i="1" s="1"/>
  <c r="I1084" i="1"/>
  <c r="J1085" i="1" l="1"/>
  <c r="H1086" i="1"/>
  <c r="D1085" i="1"/>
  <c r="G1085" i="1" s="1"/>
  <c r="I1085" i="1"/>
  <c r="D1086" i="1" l="1"/>
  <c r="G1086" i="1" s="1"/>
  <c r="H1087" i="1"/>
  <c r="J1086" i="1"/>
  <c r="I1086" i="1"/>
  <c r="I1087" i="1" l="1"/>
  <c r="J1087" i="1"/>
  <c r="D1087" i="1"/>
  <c r="G1087" i="1" s="1"/>
  <c r="H1088" i="1"/>
  <c r="I1088" i="1" l="1"/>
  <c r="J1088" i="1"/>
  <c r="H1089" i="1"/>
  <c r="I1089" i="1" l="1"/>
  <c r="J1089" i="1"/>
  <c r="D1089" i="1"/>
  <c r="G1089" i="1" s="1"/>
  <c r="H1090" i="1"/>
  <c r="D1088" i="1"/>
  <c r="G1088" i="1" s="1"/>
  <c r="I1090" i="1" l="1"/>
  <c r="H1091" i="1"/>
  <c r="D1090" i="1"/>
  <c r="G1090" i="1" s="1"/>
  <c r="J1090" i="1"/>
  <c r="J1091" i="1" l="1"/>
  <c r="I1091" i="1"/>
  <c r="H1092" i="1"/>
  <c r="D1091" i="1"/>
  <c r="G1091" i="1" s="1"/>
  <c r="H1093" i="1" l="1"/>
  <c r="J1092" i="1"/>
  <c r="D1092" i="1"/>
  <c r="G1092" i="1" s="1"/>
  <c r="I1092" i="1"/>
  <c r="D1093" i="1" l="1"/>
  <c r="G1093" i="1" s="1"/>
  <c r="J1093" i="1"/>
  <c r="H1094" i="1"/>
  <c r="I1093" i="1"/>
  <c r="H1095" i="1" l="1"/>
  <c r="D1094" i="1"/>
  <c r="G1094" i="1" s="1"/>
  <c r="J1094" i="1"/>
  <c r="I1094" i="1"/>
  <c r="H1096" i="1" l="1"/>
  <c r="D1095" i="1"/>
  <c r="G1095" i="1" s="1"/>
  <c r="J1095" i="1"/>
  <c r="I1095" i="1"/>
  <c r="J1096" i="1" l="1"/>
  <c r="D1096" i="1"/>
  <c r="G1096" i="1" s="1"/>
  <c r="H1097" i="1"/>
  <c r="I1096" i="1"/>
  <c r="J1097" i="1" l="1"/>
  <c r="I1097" i="1"/>
  <c r="H1098" i="1"/>
  <c r="D1097" i="1" l="1"/>
  <c r="G1097" i="1" s="1"/>
  <c r="I1098" i="1"/>
  <c r="H1099" i="1"/>
  <c r="J1098" i="1"/>
  <c r="D1098" i="1"/>
  <c r="G1098" i="1" s="1"/>
  <c r="D1099" i="1" l="1"/>
  <c r="G1099" i="1" s="1"/>
  <c r="J1099" i="1"/>
  <c r="H1100" i="1"/>
  <c r="I1099" i="1"/>
  <c r="I1100" i="1" l="1"/>
  <c r="J1100" i="1"/>
  <c r="H1101" i="1"/>
  <c r="D1100" i="1"/>
  <c r="G1100" i="1" s="1"/>
  <c r="H1102" i="1" l="1"/>
  <c r="J1101" i="1"/>
  <c r="D1101" i="1"/>
  <c r="G1101" i="1" s="1"/>
  <c r="I1101" i="1"/>
  <c r="I1102" i="1" l="1"/>
  <c r="H1103" i="1"/>
  <c r="J1102" i="1"/>
  <c r="D1102" i="1"/>
  <c r="G1102" i="1" s="1"/>
  <c r="I1103" i="1" l="1"/>
  <c r="H1104" i="1"/>
  <c r="D1103" i="1"/>
  <c r="G1103" i="1" s="1"/>
  <c r="J1103" i="1"/>
  <c r="J1104" i="1" l="1"/>
  <c r="H1105" i="1"/>
  <c r="I1104" i="1"/>
  <c r="D1104" i="1"/>
  <c r="G1104" i="1" s="1"/>
  <c r="D1105" i="1" l="1"/>
  <c r="G1105" i="1" s="1"/>
  <c r="I1105" i="1"/>
  <c r="H1106" i="1"/>
  <c r="J1105" i="1"/>
  <c r="I1106" i="1" l="1"/>
  <c r="H1107" i="1"/>
  <c r="D1106" i="1"/>
  <c r="G1106" i="1" s="1"/>
  <c r="J1106" i="1"/>
  <c r="D1107" i="1" l="1"/>
  <c r="G1107" i="1" s="1"/>
  <c r="H1108" i="1"/>
  <c r="I1107" i="1"/>
  <c r="J1107" i="1"/>
  <c r="I1108" i="1" l="1"/>
  <c r="H1109" i="1"/>
  <c r="J1108" i="1"/>
  <c r="D1108" i="1"/>
  <c r="G1108" i="1" s="1"/>
  <c r="D1109" i="1" l="1"/>
  <c r="G1109" i="1" s="1"/>
  <c r="J1109" i="1"/>
  <c r="I1109" i="1"/>
  <c r="H1110" i="1"/>
  <c r="H1111" i="1" l="1"/>
  <c r="J1110" i="1"/>
  <c r="I1110" i="1"/>
  <c r="D1110" i="1"/>
  <c r="G1110" i="1" s="1"/>
  <c r="J1111" i="1" l="1"/>
  <c r="I1111" i="1"/>
  <c r="H1112" i="1"/>
  <c r="D1111" i="1"/>
  <c r="G1111" i="1" s="1"/>
  <c r="H1113" i="1" l="1"/>
  <c r="I1112" i="1"/>
  <c r="J1112" i="1"/>
  <c r="D1112" i="1"/>
  <c r="G1112" i="1" s="1"/>
  <c r="H1114" i="1" l="1"/>
  <c r="J1113" i="1"/>
  <c r="D1113" i="1"/>
  <c r="G1113" i="1" s="1"/>
  <c r="I1113" i="1"/>
  <c r="J1114" i="1" l="1"/>
  <c r="H1115" i="1"/>
  <c r="D1114" i="1"/>
  <c r="G1114" i="1" s="1"/>
  <c r="I1114" i="1"/>
  <c r="I1115" i="1" l="1"/>
  <c r="D1115" i="1"/>
  <c r="G1115" i="1" s="1"/>
  <c r="H1116" i="1"/>
  <c r="J1115" i="1"/>
  <c r="J1116" i="1" l="1"/>
  <c r="I1116" i="1"/>
  <c r="H1117" i="1"/>
  <c r="D1116" i="1"/>
  <c r="G1116" i="1" s="1"/>
  <c r="J1117" i="1" l="1"/>
  <c r="H1118" i="1"/>
  <c r="D1117" i="1"/>
  <c r="G1117" i="1" s="1"/>
  <c r="I1117" i="1"/>
  <c r="J1118" i="1" l="1"/>
  <c r="I1118" i="1"/>
  <c r="D1118" i="1"/>
  <c r="G1118" i="1" s="1"/>
  <c r="H1119" i="1"/>
  <c r="J1119" i="1" l="1"/>
  <c r="D1119" i="1"/>
  <c r="G1119" i="1" s="1"/>
  <c r="H1120" i="1"/>
  <c r="I1119" i="1"/>
  <c r="D1120" i="1" l="1"/>
  <c r="G1120" i="1" s="1"/>
  <c r="J1120" i="1"/>
  <c r="I1120" i="1"/>
  <c r="H1121" i="1"/>
  <c r="H1122" i="1" l="1"/>
  <c r="I1121" i="1"/>
  <c r="D1121" i="1"/>
  <c r="G1121" i="1" s="1"/>
  <c r="J1121" i="1"/>
  <c r="D1122" i="1" l="1"/>
  <c r="G1122" i="1" s="1"/>
  <c r="J1122" i="1"/>
  <c r="I1122" i="1"/>
  <c r="H1123" i="1"/>
  <c r="H1124" i="1" l="1"/>
  <c r="I1123" i="1"/>
  <c r="D1123" i="1"/>
  <c r="G1123" i="1" s="1"/>
  <c r="J1123" i="1"/>
  <c r="J1124" i="1" l="1"/>
  <c r="D1124" i="1"/>
  <c r="G1124" i="1" s="1"/>
  <c r="H1125" i="1"/>
  <c r="I1124" i="1"/>
  <c r="J1125" i="1" l="1"/>
  <c r="I1125" i="1"/>
  <c r="D1125" i="1"/>
  <c r="G1125" i="1" s="1"/>
  <c r="H1126" i="1"/>
  <c r="H1127" i="1" l="1"/>
  <c r="J1126" i="1"/>
  <c r="I1126" i="1"/>
  <c r="D1126" i="1"/>
  <c r="G1126" i="1" s="1"/>
  <c r="H1128" i="1" l="1"/>
  <c r="I1127" i="1"/>
  <c r="D1127" i="1"/>
  <c r="G1127" i="1" s="1"/>
  <c r="J1127" i="1"/>
  <c r="J1128" i="1" l="1"/>
  <c r="I1128" i="1"/>
  <c r="H1129" i="1"/>
  <c r="D1128" i="1"/>
  <c r="G1128" i="1" s="1"/>
  <c r="H1130" i="1" l="1"/>
  <c r="J1129" i="1"/>
  <c r="I1129" i="1"/>
  <c r="D1129" i="1"/>
  <c r="G1129" i="1" s="1"/>
  <c r="I1130" i="1" l="1"/>
  <c r="H1131" i="1"/>
  <c r="D1130" i="1"/>
  <c r="G1130" i="1" s="1"/>
  <c r="J1130" i="1"/>
  <c r="I1131" i="1" l="1"/>
  <c r="H1132" i="1"/>
  <c r="J1131" i="1"/>
  <c r="D1131" i="1"/>
  <c r="G1131" i="1" s="1"/>
  <c r="H1133" i="1" l="1"/>
  <c r="I1132" i="1"/>
  <c r="D1132" i="1"/>
  <c r="G1132" i="1" s="1"/>
  <c r="J1132" i="1"/>
  <c r="J1133" i="1" l="1"/>
  <c r="D1133" i="1"/>
  <c r="G1133" i="1" s="1"/>
  <c r="I1133" i="1"/>
  <c r="H1134" i="1"/>
  <c r="J1134" i="1" l="1"/>
  <c r="I1134" i="1"/>
  <c r="D1134" i="1"/>
  <c r="G1134" i="1" s="1"/>
  <c r="H1135" i="1"/>
  <c r="J1135" i="1" l="1"/>
  <c r="I1135" i="1"/>
  <c r="H1136" i="1"/>
  <c r="D1135" i="1"/>
  <c r="G1135" i="1" s="1"/>
  <c r="I1136" i="1" l="1"/>
  <c r="H1137" i="1"/>
  <c r="J1136" i="1"/>
  <c r="D1136" i="1"/>
  <c r="G1136" i="1" s="1"/>
  <c r="I1137" i="1" l="1"/>
  <c r="H1138" i="1"/>
  <c r="J1137" i="1"/>
  <c r="D1137" i="1"/>
  <c r="G1137" i="1" s="1"/>
  <c r="D1138" i="1" l="1"/>
  <c r="G1138" i="1" s="1"/>
  <c r="H1139" i="1"/>
  <c r="I1138" i="1"/>
  <c r="J1138" i="1"/>
  <c r="J1139" i="1" l="1"/>
  <c r="I1139" i="1"/>
  <c r="H1140" i="1"/>
  <c r="D1139" i="1"/>
  <c r="G1139" i="1" s="1"/>
  <c r="I1140" i="1" l="1"/>
  <c r="H1141" i="1"/>
  <c r="J1140" i="1"/>
  <c r="D1140" i="1"/>
  <c r="G1140" i="1" s="1"/>
  <c r="J1141" i="1" l="1"/>
  <c r="H1142" i="1"/>
  <c r="D1141" i="1"/>
  <c r="G1141" i="1" s="1"/>
  <c r="I1141" i="1"/>
  <c r="D1142" i="1" l="1"/>
  <c r="G1142" i="1" s="1"/>
  <c r="J1142" i="1"/>
  <c r="I1142" i="1"/>
  <c r="H1143" i="1"/>
  <c r="I1143" i="1" l="1"/>
  <c r="H1144" i="1"/>
  <c r="D1143" i="1"/>
  <c r="G1143" i="1" s="1"/>
  <c r="J1143" i="1"/>
  <c r="J1144" i="1" l="1"/>
  <c r="I1144" i="1"/>
  <c r="D1144" i="1"/>
  <c r="G1144" i="1" s="1"/>
  <c r="H1145" i="1"/>
  <c r="D1145" i="1" l="1"/>
  <c r="G1145" i="1" s="1"/>
  <c r="J1145" i="1"/>
  <c r="I1145" i="1"/>
  <c r="H1146" i="1"/>
  <c r="H1147" i="1" l="1"/>
  <c r="D1146" i="1"/>
  <c r="G1146" i="1" s="1"/>
  <c r="J1146" i="1"/>
  <c r="I1146" i="1"/>
  <c r="I1147" i="1" l="1"/>
  <c r="H1148" i="1"/>
  <c r="J1147" i="1"/>
  <c r="D1147" i="1"/>
  <c r="G1147" i="1" s="1"/>
  <c r="I1148" i="1" l="1"/>
  <c r="J1148" i="1"/>
  <c r="H1149" i="1"/>
  <c r="D1148" i="1"/>
  <c r="G1148" i="1" s="1"/>
  <c r="I1149" i="1" l="1"/>
  <c r="H1150" i="1"/>
  <c r="D1149" i="1"/>
  <c r="G1149" i="1" s="1"/>
  <c r="J1149" i="1"/>
  <c r="D1150" i="1" l="1"/>
  <c r="G1150" i="1" s="1"/>
  <c r="H1151" i="1"/>
  <c r="I1150" i="1"/>
  <c r="J1150" i="1"/>
  <c r="H1152" i="1" l="1"/>
  <c r="I1151" i="1"/>
  <c r="J1151" i="1"/>
  <c r="D1151" i="1"/>
  <c r="G1151" i="1" s="1"/>
  <c r="J1152" i="1" l="1"/>
  <c r="D1152" i="1"/>
  <c r="G1152" i="1" s="1"/>
  <c r="H1153" i="1"/>
  <c r="I1152" i="1"/>
  <c r="H1154" i="1" l="1"/>
  <c r="I1153" i="1"/>
  <c r="D1153" i="1"/>
  <c r="G1153" i="1" s="1"/>
  <c r="J1153" i="1"/>
  <c r="J1154" i="1" l="1"/>
  <c r="H1155" i="1"/>
  <c r="D1154" i="1"/>
  <c r="G1154" i="1" s="1"/>
  <c r="I1154" i="1"/>
  <c r="D1155" i="1" l="1"/>
  <c r="G1155" i="1" s="1"/>
  <c r="I1155" i="1"/>
  <c r="H1156" i="1"/>
  <c r="J1155" i="1"/>
  <c r="H1157" i="1" l="1"/>
  <c r="D1156" i="1"/>
  <c r="G1156" i="1" s="1"/>
  <c r="I1156" i="1"/>
  <c r="J1156" i="1"/>
  <c r="I1157" i="1" l="1"/>
  <c r="D1157" i="1"/>
  <c r="G1157" i="1" s="1"/>
  <c r="J1157" i="1"/>
  <c r="H1158" i="1"/>
  <c r="H1159" i="1" l="1"/>
  <c r="I1158" i="1"/>
  <c r="J1158" i="1"/>
  <c r="D1158" i="1"/>
  <c r="G1158" i="1" s="1"/>
  <c r="I1159" i="1" l="1"/>
  <c r="J1159" i="1"/>
  <c r="D1159" i="1"/>
  <c r="G1159" i="1" s="1"/>
  <c r="H1160" i="1"/>
  <c r="H1161" i="1" l="1"/>
  <c r="J1160" i="1"/>
  <c r="I1160" i="1"/>
  <c r="D1160" i="1"/>
  <c r="G1160" i="1" s="1"/>
  <c r="D1161" i="1" l="1"/>
  <c r="G1161" i="1" s="1"/>
  <c r="I1161" i="1"/>
  <c r="H1162" i="1"/>
  <c r="J1161" i="1"/>
  <c r="H1163" i="1" l="1"/>
  <c r="J1162" i="1"/>
  <c r="I1162" i="1"/>
  <c r="D1162" i="1"/>
  <c r="G1162" i="1" s="1"/>
  <c r="H1164" i="1" l="1"/>
  <c r="D1163" i="1"/>
  <c r="G1163" i="1" s="1"/>
  <c r="J1163" i="1"/>
  <c r="I1163" i="1"/>
  <c r="J1164" i="1" l="1"/>
  <c r="D1164" i="1"/>
  <c r="G1164" i="1" s="1"/>
  <c r="I1164" i="1"/>
  <c r="H1165" i="1"/>
  <c r="H1166" i="1" l="1"/>
  <c r="J1165" i="1"/>
  <c r="I1165" i="1"/>
  <c r="D1165" i="1" l="1"/>
  <c r="G1165" i="1" s="1"/>
  <c r="D1166" i="1"/>
  <c r="G1166" i="1" s="1"/>
  <c r="I1166" i="1"/>
  <c r="J1166" i="1"/>
  <c r="H1167" i="1"/>
  <c r="I1167" i="1" l="1"/>
  <c r="D1167" i="1"/>
  <c r="G1167" i="1" s="1"/>
  <c r="H1168" i="1"/>
  <c r="J1167" i="1"/>
  <c r="H1169" i="1" l="1"/>
  <c r="D1168" i="1"/>
  <c r="G1168" i="1" s="1"/>
  <c r="I1168" i="1"/>
  <c r="J1168" i="1"/>
  <c r="J1169" i="1" l="1"/>
  <c r="I1169" i="1"/>
  <c r="H1170" i="1"/>
  <c r="D1169" i="1"/>
  <c r="G1169" i="1" s="1"/>
  <c r="I1170" i="1" l="1"/>
  <c r="J1170" i="1"/>
  <c r="H1171" i="1"/>
  <c r="D1170" i="1"/>
  <c r="G1170" i="1" s="1"/>
  <c r="I1171" i="1" l="1"/>
  <c r="J1171" i="1"/>
  <c r="D1171" i="1"/>
  <c r="G1171" i="1" s="1"/>
  <c r="H1172" i="1"/>
  <c r="I1172" i="1" l="1"/>
  <c r="J1172" i="1"/>
  <c r="H1173" i="1"/>
  <c r="D1172" i="1"/>
  <c r="G1172" i="1" s="1"/>
  <c r="J1173" i="1" l="1"/>
  <c r="H1174" i="1"/>
  <c r="D1173" i="1"/>
  <c r="G1173" i="1" s="1"/>
  <c r="I1173" i="1"/>
  <c r="H1175" i="1" l="1"/>
  <c r="D1174" i="1"/>
  <c r="G1174" i="1" s="1"/>
  <c r="J1174" i="1"/>
  <c r="I1174" i="1"/>
  <c r="J1175" i="1" l="1"/>
  <c r="H1176" i="1"/>
  <c r="I1175" i="1"/>
  <c r="D1175" i="1" l="1"/>
  <c r="G1175" i="1" s="1"/>
  <c r="H1177" i="1"/>
  <c r="D1176" i="1"/>
  <c r="G1176" i="1" s="1"/>
  <c r="I1176" i="1"/>
  <c r="J1176" i="1"/>
  <c r="H1178" i="1" l="1"/>
  <c r="I1177" i="1"/>
  <c r="J1177" i="1"/>
  <c r="D1177" i="1"/>
  <c r="G1177" i="1" s="1"/>
  <c r="D1178" i="1" l="1"/>
  <c r="G1178" i="1" s="1"/>
  <c r="I1178" i="1"/>
  <c r="H1179" i="1"/>
  <c r="J1178" i="1"/>
  <c r="J1179" i="1" l="1"/>
  <c r="H1180" i="1"/>
  <c r="I1179" i="1"/>
  <c r="D1179" i="1"/>
  <c r="G1179" i="1" s="1"/>
  <c r="J1180" i="1" l="1"/>
  <c r="H1181" i="1"/>
  <c r="I1180" i="1"/>
  <c r="D1180" i="1"/>
  <c r="G1180" i="1" s="1"/>
  <c r="H1182" i="1" l="1"/>
  <c r="I1181" i="1"/>
  <c r="J1181" i="1"/>
  <c r="D1181" i="1"/>
  <c r="G1181" i="1" s="1"/>
  <c r="J1182" i="1" l="1"/>
  <c r="I1182" i="1"/>
  <c r="H1183" i="1"/>
  <c r="J1183" i="1" l="1"/>
  <c r="H1184" i="1"/>
  <c r="I1183" i="1"/>
  <c r="D1183" i="1"/>
  <c r="G1183" i="1" s="1"/>
  <c r="D1182" i="1"/>
  <c r="G1182" i="1" s="1"/>
  <c r="D1184" i="1" l="1"/>
  <c r="G1184" i="1" s="1"/>
  <c r="I1184" i="1"/>
  <c r="H1185" i="1"/>
  <c r="J1184" i="1"/>
  <c r="H1186" i="1" l="1"/>
  <c r="J1185" i="1"/>
  <c r="I1185" i="1"/>
  <c r="D1185" i="1"/>
  <c r="G1185" i="1" s="1"/>
  <c r="H1187" i="1" l="1"/>
  <c r="I1186" i="1"/>
  <c r="J1186" i="1"/>
  <c r="D1186" i="1"/>
  <c r="G1186" i="1" s="1"/>
  <c r="D1187" i="1" l="1"/>
  <c r="G1187" i="1" s="1"/>
  <c r="H1188" i="1"/>
  <c r="I1187" i="1"/>
  <c r="J1187" i="1"/>
  <c r="D1188" i="1" l="1"/>
  <c r="G1188" i="1" s="1"/>
  <c r="I1188" i="1"/>
  <c r="H1189" i="1"/>
  <c r="J1188" i="1"/>
  <c r="J1189" i="1" l="1"/>
  <c r="I1189" i="1"/>
  <c r="H1190" i="1"/>
  <c r="D1189" i="1"/>
  <c r="G1189" i="1" s="1"/>
  <c r="H1191" i="1" l="1"/>
  <c r="I1190" i="1"/>
  <c r="J1190" i="1"/>
  <c r="D1190" i="1"/>
  <c r="G1190" i="1" s="1"/>
  <c r="I1191" i="1" l="1"/>
  <c r="H1192" i="1"/>
  <c r="J1191" i="1"/>
  <c r="D1191" i="1"/>
  <c r="G1191" i="1" s="1"/>
  <c r="I1192" i="1" l="1"/>
  <c r="J1192" i="1"/>
  <c r="H1193" i="1"/>
  <c r="D1192" i="1"/>
  <c r="G1192" i="1" s="1"/>
  <c r="H1194" i="1" l="1"/>
  <c r="J1193" i="1"/>
  <c r="I1193" i="1"/>
  <c r="D1193" i="1"/>
  <c r="G1193" i="1" s="1"/>
  <c r="H1195" i="1" l="1"/>
  <c r="D1194" i="1"/>
  <c r="G1194" i="1" s="1"/>
  <c r="I1194" i="1"/>
  <c r="J1194" i="1"/>
  <c r="J1195" i="1" l="1"/>
  <c r="I1195" i="1"/>
  <c r="D1195" i="1"/>
  <c r="G1195" i="1" s="1"/>
  <c r="H1196" i="1"/>
  <c r="H1197" i="1" l="1"/>
  <c r="I1196" i="1"/>
  <c r="D1196" i="1"/>
  <c r="G1196" i="1" s="1"/>
  <c r="J1196" i="1"/>
  <c r="H1198" i="1" l="1"/>
  <c r="I1197" i="1"/>
  <c r="D1197" i="1"/>
  <c r="G1197" i="1" s="1"/>
  <c r="J1197" i="1"/>
  <c r="I1198" i="1" l="1"/>
  <c r="D1198" i="1"/>
  <c r="G1198" i="1" s="1"/>
  <c r="J1198" i="1"/>
  <c r="H1199" i="1"/>
  <c r="D1199" i="1" l="1"/>
  <c r="G1199" i="1" s="1"/>
  <c r="J1199" i="1"/>
  <c r="H1200" i="1"/>
  <c r="I1199" i="1"/>
  <c r="J1200" i="1" l="1"/>
  <c r="I1200" i="1"/>
  <c r="H1201" i="1"/>
  <c r="D1200" i="1"/>
  <c r="G1200" i="1" s="1"/>
  <c r="H1202" i="1" l="1"/>
  <c r="I1201" i="1"/>
  <c r="J1201" i="1"/>
  <c r="D1201" i="1"/>
  <c r="G1201" i="1" s="1"/>
  <c r="J1202" i="1" l="1"/>
  <c r="I1202" i="1"/>
  <c r="D1202" i="1"/>
  <c r="G1202" i="1" s="1"/>
  <c r="H1203" i="1"/>
  <c r="J1203" i="1" l="1"/>
  <c r="D1203" i="1"/>
  <c r="G1203" i="1" s="1"/>
  <c r="H1204" i="1"/>
  <c r="I1203" i="1"/>
  <c r="H1205" i="1" l="1"/>
  <c r="J1204" i="1"/>
  <c r="I1204" i="1"/>
  <c r="D1204" i="1"/>
  <c r="G1204" i="1" s="1"/>
  <c r="J1205" i="1" l="1"/>
  <c r="I1205" i="1"/>
  <c r="D1205" i="1"/>
  <c r="G1205" i="1" s="1"/>
  <c r="H1206" i="1"/>
  <c r="H1207" i="1" l="1"/>
  <c r="J1206" i="1"/>
  <c r="D1206" i="1"/>
  <c r="G1206" i="1" s="1"/>
  <c r="I1206" i="1"/>
  <c r="J1207" i="1" l="1"/>
  <c r="H1208" i="1"/>
  <c r="I1207" i="1"/>
  <c r="D1207" i="1"/>
  <c r="G1207" i="1" s="1"/>
  <c r="H1209" i="1" l="1"/>
  <c r="I1208" i="1"/>
  <c r="J1208" i="1"/>
  <c r="D1208" i="1"/>
  <c r="G1208" i="1" s="1"/>
  <c r="J1209" i="1" l="1"/>
  <c r="H1210" i="1"/>
  <c r="I1209" i="1"/>
  <c r="D1209" i="1"/>
  <c r="G1209" i="1" s="1"/>
  <c r="I1210" i="1" l="1"/>
  <c r="J1210" i="1"/>
  <c r="H1211" i="1"/>
  <c r="D1210" i="1"/>
  <c r="G1210" i="1" s="1"/>
  <c r="H1212" i="1" l="1"/>
  <c r="D1211" i="1"/>
  <c r="G1211" i="1" s="1"/>
  <c r="J1211" i="1"/>
  <c r="I1211" i="1"/>
  <c r="D1212" i="1" l="1"/>
  <c r="G1212" i="1" s="1"/>
  <c r="I1212" i="1"/>
  <c r="H1213" i="1"/>
  <c r="J1212" i="1"/>
  <c r="J1213" i="1" l="1"/>
  <c r="D1213" i="1"/>
  <c r="G1213" i="1" s="1"/>
  <c r="I1213" i="1"/>
  <c r="H1214" i="1"/>
  <c r="D1214" i="1" l="1"/>
  <c r="G1214" i="1" s="1"/>
  <c r="I1214" i="1"/>
  <c r="H1215" i="1"/>
  <c r="J1214" i="1"/>
  <c r="D1215" i="1" l="1"/>
  <c r="G1215" i="1" s="1"/>
  <c r="H1216" i="1"/>
  <c r="I1215" i="1"/>
  <c r="J1215" i="1"/>
  <c r="H1217" i="1" l="1"/>
  <c r="I1216" i="1"/>
  <c r="J1216" i="1"/>
  <c r="D1216" i="1"/>
  <c r="G1216" i="1" s="1"/>
  <c r="H1218" i="1" l="1"/>
  <c r="I1217" i="1"/>
  <c r="J1217" i="1"/>
  <c r="D1217" i="1"/>
  <c r="G1217" i="1" s="1"/>
  <c r="D1218" i="1" l="1"/>
  <c r="G1218" i="1" s="1"/>
  <c r="I1218" i="1"/>
  <c r="H1219" i="1"/>
  <c r="J1218" i="1"/>
  <c r="H1220" i="1" l="1"/>
  <c r="D1219" i="1"/>
  <c r="G1219" i="1" s="1"/>
  <c r="J1219" i="1"/>
  <c r="I1219" i="1"/>
  <c r="D1220" i="1" l="1"/>
  <c r="G1220" i="1" s="1"/>
  <c r="H1221" i="1"/>
  <c r="I1220" i="1"/>
  <c r="J1220" i="1"/>
  <c r="H1222" i="1" l="1"/>
  <c r="J1221" i="1"/>
  <c r="I1221" i="1"/>
  <c r="D1221" i="1"/>
  <c r="G1221" i="1" s="1"/>
  <c r="I1222" i="1" l="1"/>
  <c r="J1222" i="1"/>
  <c r="D1222" i="1"/>
  <c r="G1222" i="1" s="1"/>
  <c r="H1223" i="1"/>
  <c r="H1224" i="1" l="1"/>
  <c r="D1223" i="1"/>
  <c r="G1223" i="1" s="1"/>
  <c r="J1223" i="1"/>
  <c r="I1223" i="1"/>
  <c r="I1224" i="1" l="1"/>
  <c r="D1224" i="1"/>
  <c r="G1224" i="1" s="1"/>
  <c r="J1224" i="1"/>
  <c r="H1225" i="1"/>
  <c r="I1225" i="1" l="1"/>
  <c r="J1225" i="1"/>
  <c r="H1226" i="1"/>
  <c r="D1225" i="1"/>
  <c r="G1225" i="1" s="1"/>
  <c r="J1226" i="1" l="1"/>
  <c r="H1227" i="1"/>
  <c r="D1226" i="1"/>
  <c r="G1226" i="1" s="1"/>
  <c r="I1226" i="1"/>
  <c r="I1227" i="1" l="1"/>
  <c r="D1227" i="1"/>
  <c r="G1227" i="1" s="1"/>
  <c r="J1227" i="1"/>
  <c r="H1228" i="1"/>
  <c r="I1228" i="1" l="1"/>
  <c r="D1228" i="1"/>
  <c r="G1228" i="1" s="1"/>
  <c r="J1228" i="1"/>
  <c r="H1229" i="1"/>
  <c r="I1229" i="1" l="1"/>
  <c r="H1230" i="1"/>
  <c r="J1229" i="1"/>
  <c r="D1229" i="1"/>
  <c r="G1229" i="1" s="1"/>
  <c r="J1230" i="1" l="1"/>
  <c r="D1230" i="1"/>
  <c r="G1230" i="1" s="1"/>
  <c r="H1231" i="1"/>
  <c r="I1230" i="1"/>
  <c r="J1231" i="1" l="1"/>
  <c r="D1231" i="1"/>
  <c r="G1231" i="1" s="1"/>
  <c r="H1232" i="1"/>
  <c r="I1231" i="1"/>
  <c r="D1232" i="1" l="1"/>
  <c r="G1232" i="1" s="1"/>
  <c r="J1232" i="1"/>
  <c r="H1233" i="1"/>
  <c r="I1232" i="1"/>
  <c r="J1233" i="1" l="1"/>
  <c r="H1234" i="1"/>
  <c r="D1233" i="1"/>
  <c r="G1233" i="1" s="1"/>
  <c r="I1233" i="1"/>
  <c r="H1235" i="1" l="1"/>
  <c r="D1234" i="1"/>
  <c r="G1234" i="1" s="1"/>
  <c r="I1234" i="1"/>
  <c r="J1234" i="1"/>
  <c r="H1236" i="1" l="1"/>
  <c r="D1235" i="1"/>
  <c r="G1235" i="1" s="1"/>
  <c r="J1235" i="1"/>
  <c r="I1235" i="1"/>
  <c r="J1236" i="1" l="1"/>
  <c r="I1236" i="1"/>
  <c r="D1236" i="1"/>
  <c r="G1236" i="1" s="1"/>
  <c r="H1237" i="1"/>
  <c r="J1237" i="1" l="1"/>
  <c r="H1238" i="1"/>
  <c r="I1237" i="1"/>
  <c r="D1237" i="1"/>
  <c r="G1237" i="1" s="1"/>
  <c r="J1238" i="1" l="1"/>
  <c r="D1238" i="1"/>
  <c r="G1238" i="1" s="1"/>
  <c r="H1239" i="1"/>
  <c r="I1238" i="1"/>
  <c r="J1239" i="1" l="1"/>
  <c r="D1239" i="1"/>
  <c r="G1239" i="1" s="1"/>
  <c r="I1239" i="1"/>
  <c r="H1240" i="1"/>
  <c r="H1241" i="1" l="1"/>
  <c r="I1240" i="1"/>
  <c r="J1240" i="1"/>
  <c r="D1240" i="1"/>
  <c r="G1240" i="1" s="1"/>
  <c r="J1241" i="1" l="1"/>
  <c r="H1242" i="1"/>
  <c r="D1241" i="1"/>
  <c r="G1241" i="1" s="1"/>
  <c r="I1241" i="1"/>
  <c r="D1242" i="1" l="1"/>
  <c r="G1242" i="1" s="1"/>
  <c r="J1242" i="1"/>
  <c r="H1243" i="1"/>
  <c r="I1242" i="1"/>
  <c r="I1243" i="1" l="1"/>
  <c r="J1243" i="1"/>
  <c r="H1244" i="1"/>
  <c r="D1243" i="1"/>
  <c r="G1243" i="1" s="1"/>
  <c r="I1244" i="1" l="1"/>
  <c r="D1244" i="1"/>
  <c r="G1244" i="1" s="1"/>
  <c r="J1244" i="1"/>
  <c r="H1245" i="1"/>
  <c r="H1246" i="1" l="1"/>
  <c r="J1245" i="1"/>
  <c r="I1245" i="1"/>
  <c r="D1245" i="1"/>
  <c r="G1245" i="1" s="1"/>
  <c r="I1246" i="1" l="1"/>
  <c r="D1246" i="1"/>
  <c r="G1246" i="1" s="1"/>
  <c r="H1247" i="1"/>
  <c r="J1246" i="1"/>
  <c r="H1248" i="1" l="1"/>
  <c r="D1247" i="1"/>
  <c r="G1247" i="1" s="1"/>
  <c r="I1247" i="1"/>
  <c r="J1247" i="1"/>
  <c r="D1248" i="1" l="1"/>
  <c r="G1248" i="1" s="1"/>
  <c r="J1248" i="1"/>
  <c r="H1249" i="1"/>
  <c r="I1248" i="1"/>
  <c r="H1250" i="1" l="1"/>
  <c r="I1249" i="1"/>
  <c r="J1249" i="1"/>
  <c r="D1249" i="1"/>
  <c r="G1249" i="1" s="1"/>
  <c r="I1250" i="1" l="1"/>
  <c r="J1250" i="1"/>
  <c r="H1251" i="1"/>
  <c r="D1250" i="1"/>
  <c r="G1250" i="1" s="1"/>
  <c r="J1251" i="1" l="1"/>
  <c r="D1251" i="1"/>
  <c r="G1251" i="1" s="1"/>
  <c r="H1252" i="1"/>
  <c r="I1251" i="1"/>
  <c r="I1252" i="1" l="1"/>
  <c r="D1252" i="1"/>
  <c r="G1252" i="1" s="1"/>
  <c r="H1253" i="1"/>
  <c r="J1252" i="1"/>
  <c r="J1253" i="1" l="1"/>
  <c r="H1254" i="1"/>
  <c r="D1253" i="1"/>
  <c r="G1253" i="1" s="1"/>
  <c r="I1253" i="1"/>
  <c r="I1254" i="1" l="1"/>
  <c r="J1254" i="1"/>
  <c r="H1255" i="1"/>
  <c r="D1254" i="1"/>
  <c r="G1254" i="1" s="1"/>
  <c r="I1255" i="1" l="1"/>
  <c r="H1256" i="1"/>
  <c r="D1255" i="1"/>
  <c r="G1255" i="1" s="1"/>
  <c r="J1255" i="1"/>
  <c r="H1257" i="1" l="1"/>
  <c r="I1256" i="1"/>
  <c r="J1256" i="1"/>
  <c r="D1256" i="1"/>
  <c r="G1256" i="1" s="1"/>
  <c r="I1257" i="1" l="1"/>
  <c r="J1257" i="1"/>
  <c r="D1257" i="1"/>
  <c r="G1257" i="1" s="1"/>
  <c r="H1258" i="1"/>
  <c r="D1258" i="1" l="1"/>
  <c r="G1258" i="1" s="1"/>
  <c r="J1258" i="1"/>
  <c r="I1258" i="1"/>
  <c r="H1259" i="1"/>
  <c r="H1260" i="1" l="1"/>
  <c r="J1259" i="1"/>
  <c r="D1259" i="1"/>
  <c r="G1259" i="1" s="1"/>
  <c r="I1259" i="1"/>
  <c r="I1260" i="1" l="1"/>
  <c r="J1260" i="1"/>
  <c r="H1261" i="1"/>
  <c r="J1261" i="1" l="1"/>
  <c r="H1262" i="1"/>
  <c r="I1261" i="1"/>
  <c r="D1261" i="1"/>
  <c r="G1261" i="1" s="1"/>
  <c r="D1260" i="1"/>
  <c r="G1260" i="1" s="1"/>
  <c r="J1262" i="1" l="1"/>
  <c r="D1262" i="1"/>
  <c r="G1262" i="1" s="1"/>
  <c r="I1262" i="1"/>
  <c r="H1263" i="1"/>
  <c r="J1263" i="1" l="1"/>
  <c r="H1264" i="1"/>
  <c r="I1263" i="1"/>
  <c r="D1263" i="1"/>
  <c r="G1263" i="1" s="1"/>
  <c r="J1264" i="1" l="1"/>
  <c r="I1264" i="1"/>
  <c r="D1264" i="1"/>
  <c r="G1264" i="1" s="1"/>
  <c r="H1265" i="1"/>
  <c r="H1266" i="1" l="1"/>
  <c r="I1265" i="1"/>
  <c r="J1265" i="1"/>
  <c r="D1265" i="1"/>
  <c r="G1265" i="1" s="1"/>
  <c r="I1266" i="1" l="1"/>
  <c r="D1266" i="1"/>
  <c r="G1266" i="1" s="1"/>
  <c r="J1266" i="1"/>
  <c r="H1267" i="1"/>
  <c r="H1268" i="1" l="1"/>
  <c r="J1267" i="1"/>
  <c r="D1267" i="1"/>
  <c r="G1267" i="1" s="1"/>
  <c r="I1267" i="1"/>
  <c r="J1268" i="1" l="1"/>
  <c r="I1268" i="1"/>
  <c r="D1268" i="1"/>
  <c r="G1268" i="1" s="1"/>
  <c r="H1269" i="1"/>
  <c r="H1270" i="1" l="1"/>
  <c r="J1269" i="1"/>
  <c r="D1269" i="1"/>
  <c r="G1269" i="1" s="1"/>
  <c r="I1269" i="1"/>
  <c r="D1270" i="1" l="1"/>
  <c r="G1270" i="1" s="1"/>
  <c r="J1270" i="1"/>
  <c r="I1270" i="1"/>
  <c r="H1271" i="1"/>
  <c r="I1271" i="1" l="1"/>
  <c r="H1272" i="1"/>
  <c r="D1271" i="1"/>
  <c r="G1271" i="1" s="1"/>
  <c r="J1271" i="1"/>
  <c r="I1272" i="1" l="1"/>
  <c r="J1272" i="1"/>
  <c r="H1273" i="1"/>
  <c r="D1272" i="1"/>
  <c r="G1272" i="1" s="1"/>
  <c r="I1273" i="1" l="1"/>
  <c r="H1274" i="1"/>
  <c r="J1273" i="1"/>
  <c r="D1273" i="1"/>
  <c r="G1273" i="1" s="1"/>
  <c r="J1274" i="1" l="1"/>
  <c r="H1275" i="1"/>
  <c r="I1274" i="1"/>
  <c r="D1274" i="1"/>
  <c r="G1274" i="1" s="1"/>
  <c r="D1275" i="1" l="1"/>
  <c r="G1275" i="1" s="1"/>
  <c r="I1275" i="1"/>
  <c r="J1275" i="1"/>
  <c r="H1276" i="1"/>
  <c r="D1276" i="1" l="1"/>
  <c r="G1276" i="1" s="1"/>
  <c r="J1276" i="1"/>
  <c r="I1276" i="1"/>
  <c r="H1277" i="1"/>
  <c r="H1278" i="1" l="1"/>
  <c r="J1277" i="1"/>
  <c r="D1277" i="1"/>
  <c r="G1277" i="1" s="1"/>
  <c r="I1277" i="1"/>
  <c r="J1278" i="1" l="1"/>
  <c r="H1279" i="1"/>
  <c r="D1278" i="1"/>
  <c r="G1278" i="1" s="1"/>
  <c r="I1278" i="1"/>
  <c r="H1280" i="1" l="1"/>
  <c r="I1279" i="1"/>
  <c r="D1279" i="1"/>
  <c r="G1279" i="1" s="1"/>
  <c r="J1279" i="1"/>
  <c r="H1281" i="1" l="1"/>
  <c r="D1280" i="1"/>
  <c r="G1280" i="1" s="1"/>
  <c r="J1280" i="1"/>
  <c r="I1280" i="1"/>
  <c r="J1281" i="1" l="1"/>
  <c r="I1281" i="1"/>
  <c r="D1281" i="1"/>
  <c r="G1281" i="1" s="1"/>
  <c r="H1282" i="1"/>
  <c r="J1282" i="1" l="1"/>
  <c r="D1282" i="1"/>
  <c r="G1282" i="1" s="1"/>
  <c r="H1283" i="1"/>
  <c r="I1282" i="1"/>
  <c r="J1283" i="1" l="1"/>
  <c r="I1283" i="1"/>
  <c r="H1284" i="1"/>
  <c r="D1283" i="1"/>
  <c r="G1283" i="1" s="1"/>
  <c r="D1284" i="1" l="1"/>
  <c r="G1284" i="1" s="1"/>
  <c r="I1284" i="1"/>
  <c r="H1285" i="1"/>
  <c r="J1284" i="1"/>
  <c r="H1286" i="1" l="1"/>
  <c r="I1285" i="1"/>
  <c r="D1285" i="1"/>
  <c r="G1285" i="1" s="1"/>
  <c r="J1285" i="1"/>
  <c r="J1286" i="1" l="1"/>
  <c r="I1286" i="1"/>
  <c r="H1287" i="1"/>
  <c r="D1286" i="1"/>
  <c r="G1286" i="1" s="1"/>
  <c r="D1287" i="1" l="1"/>
  <c r="G1287" i="1" s="1"/>
  <c r="I1287" i="1"/>
  <c r="H1288" i="1"/>
  <c r="J1287" i="1"/>
  <c r="J1288" i="1" l="1"/>
  <c r="H1289" i="1"/>
  <c r="I1288" i="1"/>
  <c r="D1288" i="1"/>
  <c r="G1288" i="1" s="1"/>
  <c r="J1289" i="1" l="1"/>
  <c r="H1290" i="1"/>
  <c r="D1289" i="1"/>
  <c r="G1289" i="1" s="1"/>
  <c r="I1289" i="1"/>
  <c r="H1291" i="1" l="1"/>
  <c r="I1290" i="1"/>
  <c r="J1290" i="1"/>
  <c r="D1290" i="1"/>
  <c r="G1290" i="1" s="1"/>
  <c r="H1292" i="1" l="1"/>
  <c r="I1291" i="1"/>
  <c r="D1291" i="1"/>
  <c r="G1291" i="1" s="1"/>
  <c r="J1291" i="1"/>
  <c r="D1292" i="1" l="1"/>
  <c r="G1292" i="1" s="1"/>
  <c r="H1293" i="1"/>
  <c r="I1292" i="1"/>
  <c r="J1292" i="1"/>
  <c r="H1294" i="1" l="1"/>
  <c r="I1293" i="1"/>
  <c r="J1293" i="1"/>
  <c r="D1293" i="1"/>
  <c r="G1293" i="1" s="1"/>
  <c r="D1294" i="1" l="1"/>
  <c r="G1294" i="1" s="1"/>
  <c r="H1295" i="1"/>
  <c r="I1294" i="1"/>
  <c r="J1294" i="1"/>
  <c r="J1295" i="1" l="1"/>
  <c r="D1295" i="1"/>
  <c r="G1295" i="1" s="1"/>
  <c r="H1296" i="1"/>
  <c r="I1295" i="1"/>
  <c r="I1296" i="1" l="1"/>
  <c r="J1296" i="1"/>
  <c r="D1296" i="1"/>
  <c r="G1296" i="1" s="1"/>
  <c r="H1297" i="1"/>
  <c r="J1297" i="1" l="1"/>
  <c r="H1298" i="1"/>
  <c r="I1297" i="1"/>
  <c r="D1297" i="1"/>
  <c r="G1297" i="1" s="1"/>
  <c r="H1299" i="1" l="1"/>
  <c r="I1298" i="1"/>
  <c r="D1298" i="1"/>
  <c r="G1298" i="1" s="1"/>
  <c r="J1298" i="1"/>
  <c r="J1299" i="1" l="1"/>
  <c r="I1299" i="1"/>
  <c r="D1299" i="1"/>
  <c r="G1299" i="1" s="1"/>
  <c r="H1300" i="1"/>
  <c r="D1300" i="1" l="1"/>
  <c r="G1300" i="1" s="1"/>
  <c r="H1301" i="1"/>
  <c r="I1300" i="1"/>
  <c r="J1300" i="1"/>
  <c r="H1302" i="1" l="1"/>
  <c r="I1301" i="1"/>
  <c r="D1301" i="1"/>
  <c r="G1301" i="1" s="1"/>
  <c r="J1301" i="1"/>
  <c r="H1303" i="1" l="1"/>
  <c r="I1302" i="1"/>
  <c r="D1302" i="1"/>
  <c r="G1302" i="1" s="1"/>
  <c r="J1302" i="1"/>
  <c r="D1303" i="1" l="1"/>
  <c r="G1303" i="1" s="1"/>
  <c r="H1304" i="1"/>
  <c r="I1303" i="1"/>
  <c r="J1303" i="1"/>
  <c r="J1304" i="1" l="1"/>
  <c r="H1305" i="1"/>
  <c r="D1304" i="1"/>
  <c r="G1304" i="1" s="1"/>
  <c r="I1304" i="1"/>
  <c r="J1305" i="1" l="1"/>
  <c r="H1306" i="1"/>
  <c r="I1305" i="1"/>
  <c r="D1305" i="1"/>
  <c r="G1305" i="1" s="1"/>
  <c r="I1306" i="1" l="1"/>
  <c r="D1306" i="1"/>
  <c r="G1306" i="1" s="1"/>
  <c r="J1306" i="1"/>
  <c r="H1307" i="1"/>
  <c r="I1307" i="1" l="1"/>
  <c r="D1307" i="1"/>
  <c r="G1307" i="1" s="1"/>
  <c r="J1307" i="1"/>
  <c r="H1308" i="1"/>
  <c r="I1308" i="1" l="1"/>
  <c r="H1309" i="1"/>
  <c r="D1308" i="1"/>
  <c r="G1308" i="1" s="1"/>
  <c r="J1308" i="1"/>
  <c r="D1309" i="1" l="1"/>
  <c r="G1309" i="1" s="1"/>
  <c r="H1310" i="1"/>
  <c r="I1309" i="1"/>
  <c r="J1309" i="1"/>
  <c r="D1310" i="1" l="1"/>
  <c r="G1310" i="1" s="1"/>
  <c r="I1310" i="1"/>
  <c r="J1310" i="1"/>
  <c r="H1311" i="1"/>
  <c r="I1311" i="1" l="1"/>
  <c r="J1311" i="1"/>
  <c r="H1312" i="1"/>
  <c r="D1311" i="1"/>
  <c r="G1311" i="1" s="1"/>
  <c r="J1312" i="1" l="1"/>
  <c r="H1313" i="1"/>
  <c r="I1312" i="1"/>
  <c r="D1312" i="1"/>
  <c r="G1312" i="1" s="1"/>
  <c r="H1314" i="1" l="1"/>
  <c r="I1313" i="1"/>
  <c r="D1313" i="1"/>
  <c r="G1313" i="1" s="1"/>
  <c r="J1313" i="1"/>
  <c r="J1314" i="1" l="1"/>
  <c r="I1314" i="1"/>
  <c r="H1315" i="1"/>
  <c r="D1314" i="1"/>
  <c r="G1314" i="1" s="1"/>
  <c r="I1315" i="1" l="1"/>
  <c r="J1315" i="1"/>
  <c r="H1316" i="1"/>
  <c r="D1315" i="1"/>
  <c r="G1315" i="1" s="1"/>
  <c r="I1316" i="1" l="1"/>
  <c r="H1317" i="1"/>
  <c r="D1316" i="1"/>
  <c r="G1316" i="1" s="1"/>
  <c r="J1316" i="1"/>
  <c r="H1318" i="1" l="1"/>
  <c r="I1317" i="1"/>
  <c r="D1317" i="1"/>
  <c r="G1317" i="1" s="1"/>
  <c r="J1317" i="1"/>
  <c r="I1318" i="1" l="1"/>
  <c r="H1319" i="1"/>
  <c r="J1318" i="1"/>
  <c r="D1318" i="1"/>
  <c r="G1318" i="1" s="1"/>
  <c r="H1320" i="1" l="1"/>
  <c r="J1319" i="1"/>
  <c r="D1319" i="1"/>
  <c r="G1319" i="1" s="1"/>
  <c r="I1319" i="1"/>
  <c r="I1320" i="1" l="1"/>
  <c r="H1321" i="1"/>
  <c r="J1320" i="1"/>
  <c r="D1320" i="1"/>
  <c r="G1320" i="1" s="1"/>
  <c r="H1322" i="1" l="1"/>
  <c r="I1321" i="1"/>
  <c r="D1321" i="1"/>
  <c r="G1321" i="1" s="1"/>
  <c r="J1321" i="1"/>
  <c r="H1323" i="1" l="1"/>
  <c r="D1322" i="1"/>
  <c r="G1322" i="1" s="1"/>
  <c r="J1322" i="1"/>
  <c r="I1322" i="1"/>
  <c r="H1324" i="1" l="1"/>
  <c r="I1323" i="1"/>
  <c r="D1323" i="1"/>
  <c r="G1323" i="1" s="1"/>
  <c r="J1323" i="1"/>
  <c r="H1325" i="1" l="1"/>
  <c r="J1324" i="1"/>
  <c r="D1324" i="1"/>
  <c r="G1324" i="1" s="1"/>
  <c r="I1324" i="1"/>
  <c r="J1325" i="1" l="1"/>
  <c r="I1325" i="1"/>
  <c r="H1326" i="1"/>
  <c r="D1325" i="1"/>
  <c r="G1325" i="1" s="1"/>
  <c r="J1326" i="1" l="1"/>
  <c r="I1326" i="1"/>
  <c r="H1327" i="1"/>
  <c r="D1326" i="1"/>
  <c r="G1326" i="1" s="1"/>
  <c r="D1327" i="1" l="1"/>
  <c r="G1327" i="1" s="1"/>
  <c r="J1327" i="1"/>
  <c r="H1328" i="1"/>
  <c r="I1327" i="1"/>
  <c r="J1328" i="1" l="1"/>
  <c r="I1328" i="1"/>
  <c r="H1329" i="1"/>
  <c r="D1328" i="1"/>
  <c r="G1328" i="1" s="1"/>
  <c r="H1330" i="1" l="1"/>
  <c r="I1329" i="1"/>
  <c r="D1329" i="1"/>
  <c r="G1329" i="1" s="1"/>
  <c r="J1329" i="1"/>
  <c r="D1330" i="1" l="1"/>
  <c r="G1330" i="1" s="1"/>
  <c r="J1330" i="1"/>
  <c r="H1331" i="1"/>
  <c r="I1330" i="1"/>
  <c r="I1331" i="1" l="1"/>
  <c r="J1331" i="1"/>
  <c r="H1332" i="1"/>
  <c r="D1332" i="1" l="1"/>
  <c r="G1332" i="1" s="1"/>
  <c r="H1333" i="1"/>
  <c r="J1332" i="1"/>
  <c r="I1332" i="1"/>
  <c r="D1331" i="1"/>
  <c r="G1331" i="1" s="1"/>
  <c r="H1334" i="1" l="1"/>
  <c r="I1333" i="1"/>
  <c r="D1333" i="1"/>
  <c r="G1333" i="1" s="1"/>
  <c r="J1333" i="1"/>
  <c r="J1334" i="1" l="1"/>
  <c r="D1334" i="1"/>
  <c r="G1334" i="1" s="1"/>
  <c r="I1334" i="1"/>
  <c r="H1335" i="1"/>
  <c r="I1335" i="1" l="1"/>
  <c r="D1335" i="1"/>
  <c r="G1335" i="1" s="1"/>
  <c r="J1335" i="1"/>
  <c r="H1336" i="1"/>
  <c r="J1336" i="1" l="1"/>
  <c r="D1336" i="1"/>
  <c r="G1336" i="1" s="1"/>
  <c r="I1336" i="1"/>
  <c r="H1337" i="1"/>
  <c r="J1337" i="1" l="1"/>
  <c r="I1337" i="1"/>
  <c r="D1337" i="1"/>
  <c r="G1337" i="1" s="1"/>
  <c r="H1338" i="1"/>
  <c r="J1338" i="1" l="1"/>
  <c r="I1338" i="1"/>
  <c r="D1338" i="1"/>
  <c r="G1338" i="1" s="1"/>
  <c r="H1339" i="1"/>
  <c r="D1339" i="1" l="1"/>
  <c r="G1339" i="1" s="1"/>
  <c r="H1340" i="1"/>
  <c r="I1339" i="1"/>
  <c r="J1339" i="1"/>
  <c r="H1341" i="1" l="1"/>
  <c r="D1340" i="1"/>
  <c r="G1340" i="1" s="1"/>
  <c r="J1340" i="1"/>
  <c r="I1340" i="1"/>
  <c r="I1341" i="1" l="1"/>
  <c r="D1341" i="1"/>
  <c r="G1341" i="1" s="1"/>
  <c r="J1341" i="1"/>
  <c r="H1342" i="1"/>
  <c r="I1342" i="1" l="1"/>
  <c r="D1342" i="1"/>
  <c r="G1342" i="1" s="1"/>
  <c r="J1342" i="1"/>
  <c r="H1343" i="1"/>
  <c r="H1344" i="1" l="1"/>
  <c r="I1343" i="1"/>
  <c r="J1343" i="1"/>
  <c r="D1343" i="1"/>
  <c r="G1343" i="1" s="1"/>
  <c r="H1345" i="1" l="1"/>
  <c r="I1344" i="1"/>
  <c r="D1344" i="1"/>
  <c r="G1344" i="1" s="1"/>
  <c r="J1344" i="1"/>
  <c r="I1345" i="1" l="1"/>
  <c r="J1345" i="1"/>
  <c r="H1346" i="1"/>
  <c r="D1345" i="1"/>
  <c r="G1345" i="1" s="1"/>
  <c r="J1346" i="1" l="1"/>
  <c r="I1346" i="1"/>
  <c r="D1346" i="1"/>
  <c r="G1346" i="1" s="1"/>
  <c r="H1347" i="1"/>
  <c r="H1348" i="1" l="1"/>
  <c r="D1347" i="1"/>
  <c r="G1347" i="1" s="1"/>
  <c r="I1347" i="1"/>
  <c r="J1347" i="1"/>
  <c r="D1348" i="1" l="1"/>
  <c r="G1348" i="1" s="1"/>
  <c r="J1348" i="1"/>
  <c r="H1349" i="1"/>
  <c r="I1348" i="1"/>
  <c r="H1350" i="1" l="1"/>
  <c r="I1349" i="1"/>
  <c r="J1349" i="1"/>
  <c r="D1349" i="1"/>
  <c r="G1349" i="1" s="1"/>
  <c r="J1350" i="1" l="1"/>
  <c r="H1351" i="1"/>
  <c r="I1350" i="1"/>
  <c r="D1350" i="1"/>
  <c r="G1350" i="1" s="1"/>
  <c r="J1351" i="1" l="1"/>
  <c r="I1351" i="1"/>
  <c r="H1352" i="1"/>
  <c r="D1351" i="1"/>
  <c r="G1351" i="1" s="1"/>
  <c r="H1353" i="1" l="1"/>
  <c r="D1352" i="1"/>
  <c r="G1352" i="1" s="1"/>
  <c r="I1352" i="1"/>
  <c r="J1352" i="1"/>
  <c r="H1354" i="1" l="1"/>
  <c r="D1353" i="1"/>
  <c r="G1353" i="1" s="1"/>
  <c r="I1353" i="1"/>
  <c r="J1353" i="1"/>
  <c r="D1354" i="1" l="1"/>
  <c r="G1354" i="1" s="1"/>
  <c r="J1354" i="1"/>
  <c r="I1354" i="1"/>
  <c r="H1355" i="1"/>
  <c r="I1355" i="1" l="1"/>
  <c r="J1355" i="1"/>
  <c r="H1356" i="1"/>
  <c r="D1355" i="1"/>
  <c r="G1355" i="1" s="1"/>
  <c r="J1356" i="1" l="1"/>
  <c r="H1357" i="1"/>
  <c r="D1356" i="1"/>
  <c r="G1356" i="1" s="1"/>
  <c r="I1356" i="1"/>
  <c r="I1357" i="1" l="1"/>
  <c r="D1357" i="1"/>
  <c r="G1357" i="1" s="1"/>
  <c r="H1358" i="1"/>
  <c r="J1357" i="1"/>
  <c r="H1359" i="1" l="1"/>
  <c r="J1358" i="1"/>
  <c r="D1358" i="1"/>
  <c r="G1358" i="1" s="1"/>
  <c r="I1358" i="1"/>
  <c r="I1359" i="1" l="1"/>
  <c r="D1359" i="1"/>
  <c r="G1359" i="1" s="1"/>
  <c r="J1359" i="1"/>
  <c r="H1360" i="1"/>
  <c r="J1360" i="1" l="1"/>
  <c r="I1360" i="1"/>
  <c r="D1360" i="1"/>
  <c r="G1360" i="1" s="1"/>
  <c r="H1361" i="1"/>
  <c r="J1361" i="1" l="1"/>
  <c r="I1361" i="1"/>
  <c r="D1361" i="1"/>
  <c r="G1361" i="1" s="1"/>
  <c r="H1362" i="1"/>
  <c r="J1362" i="1" l="1"/>
  <c r="I1362" i="1"/>
  <c r="H1363" i="1"/>
  <c r="D1362" i="1"/>
  <c r="G1362" i="1" s="1"/>
  <c r="I1363" i="1" l="1"/>
  <c r="D1363" i="1"/>
  <c r="G1363" i="1" s="1"/>
  <c r="J1363" i="1"/>
  <c r="H1364" i="1"/>
  <c r="D1364" i="1" l="1"/>
  <c r="G1364" i="1" s="1"/>
  <c r="H1365" i="1"/>
  <c r="I1364" i="1"/>
  <c r="J1364" i="1"/>
  <c r="H1366" i="1" l="1"/>
  <c r="J1365" i="1"/>
  <c r="I1365" i="1"/>
  <c r="D1365" i="1"/>
  <c r="G1365" i="1" s="1"/>
  <c r="J1366" i="1" l="1"/>
  <c r="D1366" i="1"/>
  <c r="G1366" i="1" s="1"/>
  <c r="I1366" i="1"/>
  <c r="H1367" i="1"/>
  <c r="J1367" i="1" l="1"/>
  <c r="D1367" i="1"/>
  <c r="G1367" i="1" s="1"/>
  <c r="I1367" i="1"/>
  <c r="H1368" i="1"/>
  <c r="J1368" i="1" l="1"/>
  <c r="I1368" i="1"/>
  <c r="H1369" i="1"/>
  <c r="D1368" i="1"/>
  <c r="G1368" i="1" s="1"/>
  <c r="I1369" i="1" l="1"/>
  <c r="H1370" i="1"/>
  <c r="J1369" i="1"/>
  <c r="D1369" i="1"/>
  <c r="G1369" i="1" s="1"/>
  <c r="I1370" i="1" l="1"/>
  <c r="H1371" i="1"/>
  <c r="D1370" i="1"/>
  <c r="G1370" i="1" s="1"/>
  <c r="J1370" i="1"/>
  <c r="D1371" i="1" l="1"/>
  <c r="G1371" i="1" s="1"/>
  <c r="J1371" i="1"/>
  <c r="I1371" i="1"/>
  <c r="H1372" i="1"/>
  <c r="I1372" i="1" l="1"/>
  <c r="J1372" i="1"/>
  <c r="H1373" i="1"/>
  <c r="D1372" i="1"/>
  <c r="G1372" i="1" s="1"/>
  <c r="I1373" i="1" l="1"/>
  <c r="D1373" i="1"/>
  <c r="G1373" i="1" s="1"/>
  <c r="H1374" i="1"/>
  <c r="J1373" i="1"/>
  <c r="I1374" i="1" l="1"/>
  <c r="D1374" i="1"/>
  <c r="G1374" i="1" s="1"/>
  <c r="J1374" i="1"/>
  <c r="H1375" i="1"/>
  <c r="I1375" i="1" l="1"/>
  <c r="J1375" i="1"/>
  <c r="H1376" i="1"/>
  <c r="D1375" i="1"/>
  <c r="G1375" i="1" s="1"/>
  <c r="I1376" i="1" l="1"/>
  <c r="J1376" i="1"/>
  <c r="D1376" i="1"/>
  <c r="G1376" i="1" s="1"/>
  <c r="H1377" i="1"/>
  <c r="J1377" i="1" l="1"/>
  <c r="H1378" i="1"/>
  <c r="D1377" i="1"/>
  <c r="G1377" i="1" s="1"/>
  <c r="I1377" i="1"/>
  <c r="I1378" i="1" l="1"/>
  <c r="D1378" i="1"/>
  <c r="G1378" i="1" s="1"/>
  <c r="H1379" i="1"/>
  <c r="J1378" i="1"/>
  <c r="D1379" i="1" l="1"/>
  <c r="G1379" i="1" s="1"/>
  <c r="I1379" i="1"/>
  <c r="H1380" i="1"/>
  <c r="J1379" i="1"/>
  <c r="H1381" i="1" l="1"/>
  <c r="I1380" i="1"/>
  <c r="J1380" i="1"/>
  <c r="D1380" i="1"/>
  <c r="G1380" i="1" s="1"/>
  <c r="J1381" i="1" l="1"/>
  <c r="H1382" i="1"/>
  <c r="D1381" i="1"/>
  <c r="G1381" i="1" s="1"/>
  <c r="I1381" i="1"/>
  <c r="D1382" i="1" l="1"/>
  <c r="G1382" i="1" s="1"/>
  <c r="J1382" i="1"/>
  <c r="I1382" i="1"/>
  <c r="H1383" i="1"/>
  <c r="H1384" i="1" l="1"/>
  <c r="D1383" i="1"/>
  <c r="G1383" i="1" s="1"/>
  <c r="I1383" i="1"/>
  <c r="J1383" i="1"/>
  <c r="I1384" i="1" l="1"/>
  <c r="H1385" i="1"/>
  <c r="J1384" i="1"/>
  <c r="D1384" i="1"/>
  <c r="G1384" i="1" s="1"/>
  <c r="H1386" i="1" l="1"/>
  <c r="J1385" i="1"/>
  <c r="I1385" i="1"/>
  <c r="D1385" i="1"/>
  <c r="G1385" i="1" s="1"/>
  <c r="D1386" i="1" l="1"/>
  <c r="G1386" i="1" s="1"/>
  <c r="H1387" i="1"/>
  <c r="J1386" i="1"/>
  <c r="I1386" i="1"/>
  <c r="I1387" i="1" l="1"/>
  <c r="H1388" i="1"/>
  <c r="J1387" i="1"/>
  <c r="D1387" i="1"/>
  <c r="G1387" i="1" s="1"/>
  <c r="I1388" i="1" l="1"/>
  <c r="J1388" i="1"/>
  <c r="D1388" i="1"/>
  <c r="G1388" i="1" s="1"/>
  <c r="H1389" i="1"/>
  <c r="J1389" i="1" l="1"/>
  <c r="I1389" i="1"/>
  <c r="H1390" i="1"/>
  <c r="D1389" i="1"/>
  <c r="G1389" i="1" s="1"/>
  <c r="H1391" i="1" l="1"/>
  <c r="D1390" i="1"/>
  <c r="G1390" i="1" s="1"/>
  <c r="I1390" i="1"/>
  <c r="J1390" i="1"/>
  <c r="J1391" i="1" l="1"/>
  <c r="I1391" i="1"/>
  <c r="D1391" i="1"/>
  <c r="G1391" i="1" s="1"/>
  <c r="H1392" i="1"/>
  <c r="D1392" i="1" l="1"/>
  <c r="G1392" i="1" s="1"/>
  <c r="I1392" i="1"/>
  <c r="H1393" i="1"/>
  <c r="J1392" i="1"/>
  <c r="J1393" i="1" l="1"/>
  <c r="H1394" i="1"/>
  <c r="D1393" i="1"/>
  <c r="G1393" i="1" s="1"/>
  <c r="I1393" i="1"/>
  <c r="I1394" i="1" l="1"/>
  <c r="H1395" i="1"/>
  <c r="J1394" i="1"/>
  <c r="D1394" i="1"/>
  <c r="G1394" i="1" s="1"/>
  <c r="H1396" i="1" l="1"/>
  <c r="I1395" i="1"/>
  <c r="D1395" i="1"/>
  <c r="G1395" i="1" s="1"/>
  <c r="J1395" i="1"/>
  <c r="I1396" i="1" l="1"/>
  <c r="J1396" i="1"/>
  <c r="D1396" i="1"/>
  <c r="G1396" i="1" s="1"/>
  <c r="H1397" i="1"/>
  <c r="J1397" i="1" l="1"/>
  <c r="H1398" i="1"/>
  <c r="D1397" i="1"/>
  <c r="G1397" i="1" s="1"/>
  <c r="I1397" i="1"/>
  <c r="J1398" i="1" l="1"/>
  <c r="I1398" i="1"/>
  <c r="H1399" i="1"/>
  <c r="D1398" i="1"/>
  <c r="G1398" i="1" s="1"/>
  <c r="H1400" i="1" l="1"/>
  <c r="I1399" i="1"/>
  <c r="D1399" i="1"/>
  <c r="G1399" i="1" s="1"/>
  <c r="J1399" i="1"/>
  <c r="I1400" i="1" l="1"/>
  <c r="H1401" i="1"/>
  <c r="J1400" i="1"/>
  <c r="D1400" i="1"/>
  <c r="G1400" i="1" s="1"/>
  <c r="I1401" i="1" l="1"/>
  <c r="J1401" i="1"/>
  <c r="H1402" i="1"/>
  <c r="D1401" i="1"/>
  <c r="G1401" i="1" s="1"/>
  <c r="I1402" i="1" l="1"/>
  <c r="D1402" i="1"/>
  <c r="G1402" i="1" s="1"/>
  <c r="H1403" i="1"/>
  <c r="J1402" i="1"/>
  <c r="J1403" i="1" l="1"/>
  <c r="D1403" i="1"/>
  <c r="G1403" i="1" s="1"/>
  <c r="I1403" i="1"/>
  <c r="H1404" i="1"/>
  <c r="D1404" i="1" l="1"/>
  <c r="G1404" i="1" s="1"/>
  <c r="H1405" i="1"/>
  <c r="I1404" i="1"/>
  <c r="J1404" i="1"/>
  <c r="J1405" i="1" l="1"/>
  <c r="D1405" i="1"/>
  <c r="G1405" i="1" s="1"/>
  <c r="I1405" i="1"/>
  <c r="H1406" i="1"/>
  <c r="I1406" i="1" l="1"/>
  <c r="H1407" i="1"/>
  <c r="D1406" i="1"/>
  <c r="G1406" i="1" s="1"/>
  <c r="J1406" i="1"/>
  <c r="H1408" i="1" l="1"/>
  <c r="D1407" i="1"/>
  <c r="G1407" i="1" s="1"/>
  <c r="I1407" i="1"/>
  <c r="J1407" i="1"/>
  <c r="I1408" i="1" l="1"/>
  <c r="D1408" i="1"/>
  <c r="G1408" i="1" s="1"/>
  <c r="J1408" i="1"/>
  <c r="H1409" i="1"/>
  <c r="J1409" i="1" l="1"/>
  <c r="I1409" i="1"/>
  <c r="H1410" i="1"/>
  <c r="D1409" i="1"/>
  <c r="G1409" i="1" s="1"/>
  <c r="J1410" i="1" l="1"/>
  <c r="H1411" i="1"/>
  <c r="D1410" i="1"/>
  <c r="G1410" i="1" s="1"/>
  <c r="I1410" i="1"/>
  <c r="J1411" i="1" l="1"/>
  <c r="H1412" i="1"/>
  <c r="D1411" i="1"/>
  <c r="G1411" i="1" s="1"/>
  <c r="I1411" i="1"/>
  <c r="I1412" i="1" l="1"/>
  <c r="H1413" i="1"/>
  <c r="D1412" i="1"/>
  <c r="G1412" i="1" s="1"/>
  <c r="J1412" i="1"/>
  <c r="I1413" i="1" l="1"/>
  <c r="H1414" i="1"/>
  <c r="D1413" i="1"/>
  <c r="G1413" i="1" s="1"/>
  <c r="J1413" i="1"/>
  <c r="H1415" i="1" l="1"/>
  <c r="D1414" i="1"/>
  <c r="G1414" i="1" s="1"/>
  <c r="I1414" i="1"/>
  <c r="J1414" i="1"/>
  <c r="I1415" i="1" l="1"/>
  <c r="D1415" i="1"/>
  <c r="G1415" i="1" s="1"/>
  <c r="H1416" i="1"/>
  <c r="J1415" i="1"/>
  <c r="D1416" i="1" l="1"/>
  <c r="G1416" i="1" s="1"/>
  <c r="I1416" i="1"/>
  <c r="J1416" i="1"/>
  <c r="H1417" i="1"/>
  <c r="J1417" i="1" l="1"/>
  <c r="I1417" i="1"/>
  <c r="D1417" i="1"/>
  <c r="G1417" i="1" s="1"/>
  <c r="H1418" i="1"/>
  <c r="J1418" i="1" l="1"/>
  <c r="H1419" i="1"/>
  <c r="D1418" i="1"/>
  <c r="G1418" i="1" s="1"/>
  <c r="I1418" i="1"/>
  <c r="D1419" i="1" l="1"/>
  <c r="G1419" i="1" s="1"/>
  <c r="H1420" i="1"/>
  <c r="J1419" i="1"/>
  <c r="I1419" i="1"/>
  <c r="D1420" i="1" l="1"/>
  <c r="G1420" i="1" s="1"/>
  <c r="H1421" i="1"/>
  <c r="I1420" i="1"/>
  <c r="J1420" i="1"/>
  <c r="J1421" i="1" l="1"/>
  <c r="D1421" i="1"/>
  <c r="G1421" i="1" s="1"/>
  <c r="H1422" i="1"/>
  <c r="I1421" i="1"/>
  <c r="H1423" i="1" l="1"/>
  <c r="I1422" i="1"/>
  <c r="J1422" i="1"/>
  <c r="D1422" i="1"/>
  <c r="G1422" i="1" s="1"/>
  <c r="I1423" i="1" l="1"/>
  <c r="J1423" i="1"/>
  <c r="H1424" i="1"/>
  <c r="D1423" i="1"/>
  <c r="G1423" i="1" s="1"/>
  <c r="J1424" i="1" l="1"/>
  <c r="D1424" i="1"/>
  <c r="G1424" i="1" s="1"/>
  <c r="H1425" i="1"/>
  <c r="I1424" i="1"/>
  <c r="D1425" i="1" l="1"/>
  <c r="G1425" i="1" s="1"/>
  <c r="H1426" i="1"/>
  <c r="J1425" i="1"/>
  <c r="I1425" i="1"/>
  <c r="H1427" i="1" l="1"/>
  <c r="D1426" i="1"/>
  <c r="G1426" i="1" s="1"/>
  <c r="J1426" i="1"/>
  <c r="I1426" i="1"/>
  <c r="H1428" i="1" l="1"/>
  <c r="D1427" i="1"/>
  <c r="G1427" i="1" s="1"/>
  <c r="J1427" i="1"/>
  <c r="I1427" i="1"/>
  <c r="J1428" i="1" l="1"/>
  <c r="H1429" i="1"/>
  <c r="D1428" i="1"/>
  <c r="G1428" i="1" s="1"/>
  <c r="I1428" i="1"/>
  <c r="H1430" i="1" l="1"/>
  <c r="D1429" i="1"/>
  <c r="G1429" i="1" s="1"/>
  <c r="J1429" i="1"/>
  <c r="I1429" i="1"/>
  <c r="I1430" i="1" l="1"/>
  <c r="H1431" i="1"/>
  <c r="D1430" i="1"/>
  <c r="G1430" i="1" s="1"/>
  <c r="J1430" i="1"/>
  <c r="D1431" i="1" l="1"/>
  <c r="G1431" i="1" s="1"/>
  <c r="H1432" i="1"/>
  <c r="I1431" i="1"/>
  <c r="J1431" i="1"/>
  <c r="I1432" i="1" l="1"/>
  <c r="J1432" i="1"/>
  <c r="H1433" i="1"/>
  <c r="D1432" i="1"/>
  <c r="G1432" i="1" s="1"/>
  <c r="D1433" i="1" l="1"/>
  <c r="G1433" i="1" s="1"/>
  <c r="H1434" i="1"/>
  <c r="J1433" i="1"/>
  <c r="I1433" i="1"/>
  <c r="H1435" i="1" l="1"/>
  <c r="D1434" i="1"/>
  <c r="G1434" i="1" s="1"/>
  <c r="I1434" i="1"/>
  <c r="J1434" i="1"/>
  <c r="J1435" i="1" l="1"/>
  <c r="I1435" i="1"/>
  <c r="H1436" i="1"/>
  <c r="D1435" i="1"/>
  <c r="G1435" i="1" s="1"/>
  <c r="H1437" i="1" l="1"/>
  <c r="I1436" i="1"/>
  <c r="J1436" i="1"/>
  <c r="D1436" i="1"/>
  <c r="G1436" i="1" s="1"/>
  <c r="I1437" i="1" l="1"/>
  <c r="J1437" i="1"/>
  <c r="D1437" i="1"/>
  <c r="G1437" i="1" s="1"/>
  <c r="H1438" i="1"/>
  <c r="I1438" i="1" l="1"/>
  <c r="H1439" i="1"/>
  <c r="J1438" i="1"/>
  <c r="D1438" i="1"/>
  <c r="G1438" i="1" s="1"/>
  <c r="D1439" i="1" l="1"/>
  <c r="G1439" i="1" s="1"/>
  <c r="I1439" i="1"/>
  <c r="J1439" i="1"/>
  <c r="H1440" i="1"/>
  <c r="H1441" i="1" l="1"/>
  <c r="I1440" i="1"/>
  <c r="J1440" i="1"/>
  <c r="D1440" i="1"/>
  <c r="G1440" i="1" s="1"/>
  <c r="J1441" i="1" l="1"/>
  <c r="H1442" i="1"/>
  <c r="D1441" i="1"/>
  <c r="G1441" i="1" s="1"/>
  <c r="I1441" i="1"/>
  <c r="H1443" i="1" l="1"/>
  <c r="J1442" i="1"/>
  <c r="D1442" i="1"/>
  <c r="G1442" i="1" s="1"/>
  <c r="I1442" i="1"/>
  <c r="H1444" i="1" l="1"/>
  <c r="I1443" i="1"/>
  <c r="D1443" i="1"/>
  <c r="G1443" i="1" s="1"/>
  <c r="J1443" i="1"/>
  <c r="H1445" i="1" l="1"/>
  <c r="J1444" i="1"/>
  <c r="I1444" i="1"/>
  <c r="D1444" i="1"/>
  <c r="G1444" i="1" s="1"/>
  <c r="I1445" i="1" l="1"/>
  <c r="J1445" i="1"/>
  <c r="H1446" i="1"/>
  <c r="D1445" i="1"/>
  <c r="G1445" i="1" s="1"/>
  <c r="D1446" i="1" l="1"/>
  <c r="G1446" i="1" s="1"/>
  <c r="I1446" i="1"/>
  <c r="J1446" i="1"/>
  <c r="H1447" i="1"/>
  <c r="I1447" i="1" l="1"/>
  <c r="J1447" i="1"/>
  <c r="D1447" i="1"/>
  <c r="G1447" i="1" s="1"/>
  <c r="H1448" i="1"/>
  <c r="I1448" i="1" l="1"/>
  <c r="H1449" i="1"/>
  <c r="D1448" i="1"/>
  <c r="G1448" i="1" s="1"/>
  <c r="J1448" i="1"/>
  <c r="J1449" i="1" l="1"/>
  <c r="H1450" i="1"/>
  <c r="D1449" i="1"/>
  <c r="G1449" i="1" s="1"/>
  <c r="I1449" i="1"/>
  <c r="J1450" i="1" l="1"/>
  <c r="H1451" i="1"/>
  <c r="D1450" i="1"/>
  <c r="G1450" i="1" s="1"/>
  <c r="I1450" i="1"/>
  <c r="D1451" i="1" l="1"/>
  <c r="G1451" i="1" s="1"/>
  <c r="I1451" i="1"/>
  <c r="H1452" i="1"/>
  <c r="J1451" i="1"/>
  <c r="J1452" i="1" l="1"/>
  <c r="I1452" i="1"/>
  <c r="H1453" i="1"/>
  <c r="D1452" i="1"/>
  <c r="G1452" i="1" s="1"/>
  <c r="H1454" i="1" l="1"/>
  <c r="D1453" i="1"/>
  <c r="G1453" i="1" s="1"/>
  <c r="I1453" i="1"/>
  <c r="J1453" i="1"/>
  <c r="J1454" i="1" l="1"/>
  <c r="H1455" i="1"/>
  <c r="I1454" i="1"/>
  <c r="D1454" i="1"/>
  <c r="G1454" i="1" s="1"/>
  <c r="J1455" i="1" l="1"/>
  <c r="D1455" i="1"/>
  <c r="G1455" i="1" s="1"/>
  <c r="I1455" i="1"/>
  <c r="H1456" i="1"/>
  <c r="I1456" i="1" l="1"/>
  <c r="D1456" i="1"/>
  <c r="G1456" i="1" s="1"/>
  <c r="H1457" i="1"/>
  <c r="J1456" i="1"/>
  <c r="I1457" i="1" l="1"/>
  <c r="D1457" i="1"/>
  <c r="G1457" i="1" s="1"/>
  <c r="H1458" i="1"/>
  <c r="J1457" i="1"/>
  <c r="J1458" i="1" l="1"/>
  <c r="I1458" i="1"/>
  <c r="D1458" i="1"/>
  <c r="G1458" i="1" s="1"/>
  <c r="H1459" i="1"/>
  <c r="J1459" i="1" l="1"/>
  <c r="D1459" i="1"/>
  <c r="G1459" i="1" s="1"/>
  <c r="H1460" i="1"/>
  <c r="I1459" i="1"/>
  <c r="I1460" i="1" l="1"/>
  <c r="D1460" i="1"/>
  <c r="G1460" i="1" s="1"/>
  <c r="J1460" i="1"/>
  <c r="H1461" i="1"/>
  <c r="J1461" i="1" l="1"/>
  <c r="H1462" i="1"/>
  <c r="D1461" i="1"/>
  <c r="G1461" i="1" s="1"/>
  <c r="I1461" i="1"/>
  <c r="I1462" i="1" l="1"/>
  <c r="H1463" i="1"/>
  <c r="D1462" i="1"/>
  <c r="G1462" i="1" s="1"/>
  <c r="J1462" i="1"/>
  <c r="D1463" i="1" l="1"/>
  <c r="G1463" i="1" s="1"/>
  <c r="H1464" i="1"/>
  <c r="I1463" i="1"/>
  <c r="J1463" i="1"/>
  <c r="D1464" i="1" l="1"/>
  <c r="G1464" i="1" s="1"/>
  <c r="H1465" i="1"/>
  <c r="J1464" i="1"/>
  <c r="I1464" i="1"/>
  <c r="H1466" i="1" l="1"/>
  <c r="J1465" i="1"/>
  <c r="I1465" i="1"/>
  <c r="D1465" i="1"/>
  <c r="G1465" i="1" s="1"/>
  <c r="J1466" i="1" l="1"/>
  <c r="I1466" i="1"/>
  <c r="D1466" i="1"/>
  <c r="G1466" i="1" s="1"/>
  <c r="H1467" i="1"/>
  <c r="I1467" i="1" l="1"/>
  <c r="D1467" i="1"/>
  <c r="G1467" i="1" s="1"/>
  <c r="H1468" i="1"/>
  <c r="J1467" i="1"/>
  <c r="J1468" i="1" l="1"/>
  <c r="H1469" i="1"/>
  <c r="I1468" i="1"/>
  <c r="D1468" i="1"/>
  <c r="G1468" i="1" s="1"/>
  <c r="J1469" i="1" l="1"/>
  <c r="D1469" i="1"/>
  <c r="G1469" i="1" s="1"/>
  <c r="H1470" i="1"/>
  <c r="I1469" i="1"/>
  <c r="H1471" i="1" l="1"/>
  <c r="J1470" i="1"/>
  <c r="I1470" i="1"/>
  <c r="D1470" i="1" l="1"/>
  <c r="G1470" i="1" s="1"/>
  <c r="J1471" i="1"/>
  <c r="H1472" i="1"/>
  <c r="I1471" i="1"/>
  <c r="D1471" i="1"/>
  <c r="G1471" i="1" s="1"/>
  <c r="H1473" i="1" l="1"/>
  <c r="I1472" i="1"/>
  <c r="D1472" i="1"/>
  <c r="G1472" i="1" s="1"/>
  <c r="J1472" i="1"/>
  <c r="I1473" i="1" l="1"/>
  <c r="J1473" i="1"/>
  <c r="D1473" i="1"/>
  <c r="G1473" i="1" s="1"/>
  <c r="H1474" i="1"/>
  <c r="D1474" i="1" l="1"/>
  <c r="G1474" i="1" s="1"/>
  <c r="I1474" i="1"/>
  <c r="J1474" i="1"/>
  <c r="H1475" i="1"/>
  <c r="I1475" i="1" l="1"/>
  <c r="D1475" i="1"/>
  <c r="G1475" i="1" s="1"/>
  <c r="J1475" i="1"/>
  <c r="H1476" i="1"/>
  <c r="J1476" i="1" l="1"/>
  <c r="H1477" i="1"/>
  <c r="I1476" i="1"/>
  <c r="D1476" i="1"/>
  <c r="G1476" i="1" s="1"/>
  <c r="J1477" i="1" l="1"/>
  <c r="D1477" i="1"/>
  <c r="G1477" i="1" s="1"/>
  <c r="I1477" i="1"/>
  <c r="H1478" i="1"/>
  <c r="I1478" i="1" l="1"/>
  <c r="D1478" i="1"/>
  <c r="G1478" i="1" s="1"/>
  <c r="J1478" i="1"/>
  <c r="H1479" i="1"/>
  <c r="D1479" i="1" l="1"/>
  <c r="G1479" i="1" s="1"/>
  <c r="I1479" i="1"/>
  <c r="J1479" i="1"/>
  <c r="H1480" i="1"/>
  <c r="J1480" i="1" l="1"/>
  <c r="D1480" i="1"/>
  <c r="G1480" i="1" s="1"/>
  <c r="H1481" i="1"/>
  <c r="I1480" i="1"/>
  <c r="J1481" i="1" l="1"/>
  <c r="H1482" i="1"/>
  <c r="I1481" i="1"/>
  <c r="D1481" i="1"/>
  <c r="G1481" i="1" s="1"/>
  <c r="I1482" i="1" l="1"/>
  <c r="H1483" i="1"/>
  <c r="D1482" i="1"/>
  <c r="G1482" i="1" s="1"/>
  <c r="J1482" i="1"/>
  <c r="J1483" i="1" l="1"/>
  <c r="D1483" i="1"/>
  <c r="G1483" i="1" s="1"/>
  <c r="H1484" i="1"/>
  <c r="I1483" i="1"/>
  <c r="D1484" i="1" l="1"/>
  <c r="G1484" i="1" s="1"/>
  <c r="I1484" i="1"/>
  <c r="H1485" i="1"/>
  <c r="J1484" i="1"/>
  <c r="J1485" i="1" l="1"/>
  <c r="H1486" i="1"/>
  <c r="D1485" i="1"/>
  <c r="G1485" i="1" s="1"/>
  <c r="I1485" i="1"/>
  <c r="I1486" i="1" l="1"/>
  <c r="D1486" i="1"/>
  <c r="G1486" i="1" s="1"/>
  <c r="J1486" i="1"/>
  <c r="H1487" i="1"/>
  <c r="D1487" i="1" l="1"/>
  <c r="G1487" i="1" s="1"/>
  <c r="I1487" i="1"/>
  <c r="J1487" i="1"/>
  <c r="H1488" i="1"/>
  <c r="J1488" i="1" l="1"/>
  <c r="I1488" i="1"/>
  <c r="D1488" i="1"/>
  <c r="G1488" i="1" s="1"/>
  <c r="H1489" i="1"/>
  <c r="J1489" i="1" l="1"/>
  <c r="H1490" i="1"/>
  <c r="D1489" i="1"/>
  <c r="G1489" i="1" s="1"/>
  <c r="I1489" i="1"/>
  <c r="D1490" i="1" l="1"/>
  <c r="G1490" i="1" s="1"/>
  <c r="I1490" i="1"/>
  <c r="H1491" i="1"/>
  <c r="J1490" i="1"/>
  <c r="J1491" i="1" l="1"/>
  <c r="D1491" i="1"/>
  <c r="G1491" i="1" s="1"/>
  <c r="I1491" i="1"/>
  <c r="H1492" i="1"/>
  <c r="I1492" i="1" l="1"/>
  <c r="J1492" i="1"/>
  <c r="H1493" i="1"/>
  <c r="D1492" i="1"/>
  <c r="G1492" i="1" s="1"/>
  <c r="D1493" i="1" l="1"/>
  <c r="G1493" i="1" s="1"/>
  <c r="J1493" i="1"/>
  <c r="H1494" i="1"/>
  <c r="I1493" i="1"/>
  <c r="D1494" i="1" l="1"/>
  <c r="G1494" i="1" s="1"/>
  <c r="J1494" i="1"/>
  <c r="I1494" i="1"/>
  <c r="H1495" i="1"/>
  <c r="I1495" i="1" l="1"/>
  <c r="H1496" i="1"/>
  <c r="J1495" i="1"/>
  <c r="D1495" i="1"/>
  <c r="G1495" i="1" s="1"/>
  <c r="H1497" i="1" l="1"/>
  <c r="I1496" i="1"/>
  <c r="D1496" i="1"/>
  <c r="G1496" i="1" s="1"/>
  <c r="J1496" i="1"/>
  <c r="I1497" i="1" l="1"/>
  <c r="H1498" i="1"/>
  <c r="J1497" i="1"/>
  <c r="D1497" i="1"/>
  <c r="G1497" i="1" s="1"/>
  <c r="J1498" i="1" l="1"/>
  <c r="I1498" i="1"/>
  <c r="H1499" i="1"/>
  <c r="D1498" i="1"/>
  <c r="G1498" i="1" s="1"/>
  <c r="J1499" i="1" l="1"/>
  <c r="I1499" i="1"/>
  <c r="H1500" i="1"/>
  <c r="D1499" i="1"/>
  <c r="G1499" i="1" s="1"/>
  <c r="D1500" i="1" l="1"/>
  <c r="G1500" i="1" s="1"/>
  <c r="I1500" i="1"/>
  <c r="J1500" i="1"/>
</calcChain>
</file>

<file path=xl/sharedStrings.xml><?xml version="1.0" encoding="utf-8"?>
<sst xmlns="http://schemas.openxmlformats.org/spreadsheetml/2006/main" count="107" uniqueCount="103">
  <si>
    <t>Operator</t>
  </si>
  <si>
    <t>Equipment</t>
  </si>
  <si>
    <t>Material</t>
  </si>
  <si>
    <t>Batch size</t>
  </si>
  <si>
    <t>Product</t>
  </si>
  <si>
    <t>Time</t>
  </si>
  <si>
    <t>Defects</t>
  </si>
  <si>
    <t>Products</t>
  </si>
  <si>
    <t>Name</t>
  </si>
  <si>
    <t>st dev</t>
  </si>
  <si>
    <t>mean/6</t>
  </si>
  <si>
    <t>rounded to nearest 10</t>
  </si>
  <si>
    <t>Neesha</t>
  </si>
  <si>
    <t>Jared</t>
  </si>
  <si>
    <t>Sprig 1</t>
  </si>
  <si>
    <t>Sprig 4</t>
  </si>
  <si>
    <t>Sprig 3</t>
  </si>
  <si>
    <t>87b</t>
  </si>
  <si>
    <t>86</t>
  </si>
  <si>
    <t>Setup:</t>
  </si>
  <si>
    <t>B600</t>
  </si>
  <si>
    <t>B1200</t>
  </si>
  <si>
    <t>B1700</t>
  </si>
  <si>
    <t>random +/- 20 minutes</t>
  </si>
  <si>
    <t xml:space="preserve">Please enter your name here: </t>
  </si>
  <si>
    <t>Enter your email address here:</t>
  </si>
  <si>
    <t>Random numbers:</t>
  </si>
  <si>
    <t>b</t>
  </si>
  <si>
    <t>c</t>
  </si>
  <si>
    <t>minutes</t>
  </si>
  <si>
    <t>operator</t>
  </si>
  <si>
    <t>material</t>
  </si>
  <si>
    <t>equipment</t>
  </si>
  <si>
    <t>product</t>
  </si>
  <si>
    <t>Color</t>
  </si>
  <si>
    <t>plum</t>
  </si>
  <si>
    <t>sky</t>
  </si>
  <si>
    <t>fire</t>
  </si>
  <si>
    <t>lime</t>
  </si>
  <si>
    <t>Regular defect %</t>
  </si>
  <si>
    <t>Cause a</t>
  </si>
  <si>
    <t>Cause b</t>
  </si>
  <si>
    <t>Sprig 2</t>
  </si>
  <si>
    <t>Running Minutes</t>
  </si>
  <si>
    <t>Start Date</t>
  </si>
  <si>
    <t>Break Min</t>
  </si>
  <si>
    <t>Total Min</t>
  </si>
  <si>
    <t>Swap Min</t>
  </si>
  <si>
    <t>Batch Time (min)</t>
  </si>
  <si>
    <t>Batch Start Date</t>
  </si>
  <si>
    <t>Batch Start Time</t>
  </si>
  <si>
    <t>Instructions</t>
  </si>
  <si>
    <t>Exploring operations data with visualization</t>
  </si>
  <si>
    <t>Part 1</t>
  </si>
  <si>
    <t>a. Enter your name and email address above.</t>
  </si>
  <si>
    <t>c.  Save the file and open it using Tableau.  In Tableau, work with only the Run Data worksheet</t>
  </si>
  <si>
    <t>b. Look at the Run Data tab and make sure you see words and numbers instead of #VALUE</t>
  </si>
  <si>
    <t>d. In tableau, split the product column into two columns: code and color</t>
  </si>
  <si>
    <t xml:space="preserve">e. Add a column in Tableau that computes % defective for each batch. </t>
  </si>
  <si>
    <t>Brad Meyer</t>
  </si>
  <si>
    <t>bradley.meyer@drake.edu</t>
  </si>
  <si>
    <t>You should have found:</t>
  </si>
  <si>
    <t>at</t>
  </si>
  <si>
    <t>Name:</t>
  </si>
  <si>
    <t>Score:</t>
  </si>
  <si>
    <t>Email:</t>
  </si>
  <si>
    <t xml:space="preserve">Points </t>
  </si>
  <si>
    <t>Lost</t>
  </si>
  <si>
    <t xml:space="preserve"> running minutes</t>
  </si>
  <si>
    <t>or at</t>
  </si>
  <si>
    <t>Good, you found the causes and the</t>
  </si>
  <si>
    <t xml:space="preserve">  timing as well.</t>
  </si>
  <si>
    <t xml:space="preserve">And you didn't notice anything about </t>
  </si>
  <si>
    <t xml:space="preserve">   when the defects started happening. </t>
  </si>
  <si>
    <t>TableauExploreAns.xlsx</t>
  </si>
  <si>
    <t xml:space="preserve"> / 8</t>
  </si>
  <si>
    <t>Ave batch size</t>
  </si>
  <si>
    <t>People</t>
  </si>
  <si>
    <t>normally distributed</t>
  </si>
  <si>
    <t>Defect cause a lookup table</t>
  </si>
  <si>
    <t>Defect cause b lookup table</t>
  </si>
  <si>
    <t>produce %</t>
  </si>
  <si>
    <t>Equipment assignment</t>
  </si>
  <si>
    <t xml:space="preserve">  = Setup plus batch size *  0.5 (in minutes)</t>
  </si>
  <si>
    <t>Material percentages</t>
  </si>
  <si>
    <t xml:space="preserve">  from lookup tables and random in column M</t>
  </si>
  <si>
    <t>Generating the root causes</t>
  </si>
  <si>
    <t>If operator lookup table</t>
  </si>
  <si>
    <t>If material lookup table</t>
  </si>
  <si>
    <t>If equipment lookup table</t>
  </si>
  <si>
    <t>Product Code</t>
  </si>
  <si>
    <t>Product Color</t>
  </si>
  <si>
    <t>Due to Factor defect %</t>
  </si>
  <si>
    <t>If product code lookup table</t>
  </si>
  <si>
    <t>If product color lookup table</t>
  </si>
  <si>
    <t>Computed Batch size (from average batch size)</t>
  </si>
  <si>
    <t>f. Explore the data to discovered what is happening with defects.</t>
  </si>
  <si>
    <t>g. Describe your findings with a story in Tableau.</t>
  </si>
  <si>
    <t>Submit both your Excel file and the Tableau file.</t>
  </si>
  <si>
    <t xml:space="preserve">Increase in defects enabled on </t>
  </si>
  <si>
    <t xml:space="preserve">when the first batch with both causes occurs.  </t>
  </si>
  <si>
    <t>The increase in defects may be noted a while after this,</t>
  </si>
  <si>
    <t>Reed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</si>
</sst>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Geneva"/>
    </font>
    <font>
      <sz val="9"/>
      <color indexed="9"/>
      <name val="Geneva"/>
    </font>
    <font>
      <sz val="10"/>
      <name val="Arial"/>
      <family val="2"/>
    </font>
    <font>
      <sz val="16"/>
      <color indexed="12"/>
      <name val="Geneva"/>
    </font>
    <font>
      <sz val="9"/>
      <color indexed="10"/>
      <name val="Geneva"/>
    </font>
    <font>
      <sz val="14"/>
      <color indexed="12"/>
      <name val="Geneva"/>
    </font>
    <font>
      <u/>
      <sz val="9"/>
      <color indexed="12"/>
      <name val="Geneva"/>
    </font>
    <font>
      <sz val="14"/>
      <color indexed="10"/>
      <name val="Geneva"/>
    </font>
    <font>
      <sz val="9"/>
      <color indexed="48"/>
      <name val="Geneva"/>
    </font>
    <font>
      <b/>
      <sz val="9"/>
      <color indexed="12"/>
      <name val="Geneva"/>
    </font>
    <font>
      <sz val="11"/>
      <color rgb="FFFF0000"/>
      <name val="Geneva"/>
    </font>
    <font>
      <sz val="10"/>
      <color rgb="FFFF0000"/>
      <name val="Arial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1" fillId="0" borderId="0" xfId="0" applyFont="1"/>
    <xf numFmtId="9" fontId="0" fillId="0" borderId="0" xfId="0" applyNumberFormat="1"/>
    <xf numFmtId="0" fontId="3" fillId="0" borderId="0" xfId="1" applyFont="1"/>
    <xf numFmtId="0" fontId="2" fillId="0" borderId="0" xfId="1"/>
    <xf numFmtId="0" fontId="4" fillId="0" borderId="0" xfId="2"/>
    <xf numFmtId="0" fontId="4" fillId="2" borderId="0" xfId="2" applyFill="1" applyProtection="1">
      <protection hidden="1"/>
    </xf>
    <xf numFmtId="0" fontId="5" fillId="0" borderId="0" xfId="1" applyFont="1"/>
    <xf numFmtId="0" fontId="6" fillId="0" borderId="1" xfId="1" applyFont="1" applyBorder="1" applyProtection="1">
      <protection locked="0"/>
    </xf>
    <xf numFmtId="0" fontId="2" fillId="0" borderId="0" xfId="1" applyAlignment="1">
      <alignment horizontal="center"/>
    </xf>
    <xf numFmtId="0" fontId="7" fillId="0" borderId="0" xfId="1" applyFont="1"/>
    <xf numFmtId="0" fontId="8" fillId="0" borderId="1" xfId="3" applyBorder="1" applyAlignment="1" applyProtection="1">
      <protection locked="0"/>
    </xf>
    <xf numFmtId="0" fontId="9" fillId="0" borderId="0" xfId="1" applyFont="1"/>
    <xf numFmtId="0" fontId="10" fillId="0" borderId="0" xfId="1" applyFont="1"/>
    <xf numFmtId="0" fontId="11" fillId="0" borderId="0" xfId="1" applyFont="1" applyAlignment="1">
      <alignment horizontal="right"/>
    </xf>
    <xf numFmtId="0" fontId="9" fillId="0" borderId="0" xfId="1" applyFont="1" applyBorder="1"/>
    <xf numFmtId="0" fontId="12" fillId="0" borderId="0" xfId="1" applyFont="1"/>
    <xf numFmtId="0" fontId="2" fillId="0" borderId="0" xfId="4" applyFont="1"/>
    <xf numFmtId="0" fontId="2" fillId="0" borderId="0" xfId="1" applyFill="1"/>
    <xf numFmtId="0" fontId="8" fillId="0" borderId="0" xfId="3" applyFill="1" applyAlignment="1" applyProtection="1"/>
    <xf numFmtId="164" fontId="4" fillId="2" borderId="0" xfId="2" applyNumberFormat="1" applyFill="1" applyAlignment="1" applyProtection="1">
      <alignment horizontal="center"/>
      <protection hidden="1"/>
    </xf>
    <xf numFmtId="0" fontId="4" fillId="0" borderId="0" xfId="2" applyFont="1" applyAlignment="1">
      <alignment horizontal="center"/>
    </xf>
    <xf numFmtId="0" fontId="4" fillId="0" borderId="0" xfId="2" applyAlignment="1">
      <alignment horizontal="left"/>
    </xf>
    <xf numFmtId="0" fontId="4" fillId="0" borderId="0" xfId="2" applyFont="1" applyAlignment="1">
      <alignment horizontal="left"/>
    </xf>
    <xf numFmtId="0" fontId="13" fillId="0" borderId="0" xfId="2" applyFont="1"/>
    <xf numFmtId="0" fontId="4" fillId="0" borderId="0" xfId="2" applyNumberFormat="1" applyFill="1"/>
    <xf numFmtId="14" fontId="0" fillId="0" borderId="0" xfId="0" applyNumberFormat="1"/>
    <xf numFmtId="18" fontId="0" fillId="0" borderId="0" xfId="0" applyNumberFormat="1"/>
    <xf numFmtId="0" fontId="0" fillId="0" borderId="0" xfId="0" applyNumberFormat="1"/>
    <xf numFmtId="0" fontId="14" fillId="0" borderId="0" xfId="0" applyFont="1"/>
    <xf numFmtId="0" fontId="14" fillId="0" borderId="0" xfId="2" applyFont="1"/>
    <xf numFmtId="0" fontId="15" fillId="0" borderId="0" xfId="0" applyFont="1"/>
    <xf numFmtId="0" fontId="16" fillId="0" borderId="0" xfId="0" applyFont="1"/>
    <xf numFmtId="14" fontId="16" fillId="0" borderId="0" xfId="0" applyNumberFormat="1" applyFont="1"/>
    <xf numFmtId="18" fontId="16" fillId="0" borderId="0" xfId="0" applyNumberFormat="1" applyFont="1"/>
    <xf numFmtId="0" fontId="4" fillId="0" borderId="0" xfId="6" applyFont="1"/>
    <xf numFmtId="0" fontId="17" fillId="0" borderId="0" xfId="6" applyFont="1"/>
    <xf numFmtId="0" fontId="18" fillId="0" borderId="0" xfId="6" applyFont="1" applyAlignment="1">
      <alignment horizontal="right"/>
    </xf>
    <xf numFmtId="0" fontId="18" fillId="0" borderId="0" xfId="6" applyFont="1"/>
    <xf numFmtId="0" fontId="4" fillId="0" borderId="0" xfId="6"/>
    <xf numFmtId="0" fontId="19" fillId="3" borderId="0" xfId="6" applyFont="1" applyFill="1" applyBorder="1"/>
    <xf numFmtId="0" fontId="16" fillId="0" borderId="0" xfId="0" applyFont="1" applyAlignment="1">
      <alignment horizontal="center"/>
    </xf>
    <xf numFmtId="9" fontId="0" fillId="4" borderId="2" xfId="0" applyNumberFormat="1" applyFill="1" applyBorder="1"/>
    <xf numFmtId="0" fontId="0" fillId="4" borderId="2" xfId="0" applyFill="1" applyBorder="1"/>
    <xf numFmtId="0" fontId="4" fillId="4" borderId="2" xfId="2" applyFill="1" applyBorder="1"/>
    <xf numFmtId="0" fontId="4" fillId="4" borderId="2" xfId="2" applyFill="1" applyBorder="1" applyAlignment="1">
      <alignment horizontal="center"/>
    </xf>
    <xf numFmtId="0" fontId="20" fillId="0" borderId="0" xfId="2" applyFont="1"/>
    <xf numFmtId="14" fontId="0" fillId="4" borderId="2" xfId="0" applyNumberFormat="1" applyFill="1" applyBorder="1"/>
    <xf numFmtId="0" fontId="0" fillId="0" borderId="2" xfId="0" applyBorder="1"/>
    <xf numFmtId="0" fontId="0" fillId="0" borderId="2" xfId="0" quotePrefix="1" applyBorder="1"/>
    <xf numFmtId="9" fontId="0" fillId="0" borderId="2" xfId="0" applyNumberFormat="1" applyBorder="1"/>
    <xf numFmtId="0" fontId="4" fillId="0" borderId="2" xfId="2" applyBorder="1"/>
    <xf numFmtId="0" fontId="21" fillId="0" borderId="0" xfId="2" applyFont="1"/>
    <xf numFmtId="0" fontId="4" fillId="4" borderId="2" xfId="2" quotePrefix="1" applyFill="1" applyBorder="1"/>
    <xf numFmtId="0" fontId="22" fillId="0" borderId="2" xfId="0" applyFont="1" applyBorder="1"/>
    <xf numFmtId="9" fontId="0" fillId="0" borderId="2" xfId="0" applyNumberFormat="1" applyFill="1" applyBorder="1"/>
    <xf numFmtId="0" fontId="4" fillId="4" borderId="0" xfId="2" applyFill="1" applyProtection="1">
      <protection hidden="1"/>
    </xf>
  </cellXfs>
  <cellStyles count="7">
    <cellStyle name="Hyperlink" xfId="3" builtinId="8"/>
    <cellStyle name="Normal" xfId="0" builtinId="0"/>
    <cellStyle name="Normal 2" xfId="2" xr:uid="{00000000-0005-0000-0000-000002000000}"/>
    <cellStyle name="Normal 2 3" xfId="6" xr:uid="{00000000-0005-0000-0000-000003000000}"/>
    <cellStyle name="Normal_PSet1a" xfId="4" xr:uid="{00000000-0005-0000-0000-000004000000}"/>
    <cellStyle name="Normal_Pset3" xfId="1" xr:uid="{00000000-0005-0000-0000-000005000000}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adley.meyer@drake.ed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537"/>
  <sheetViews>
    <sheetView tabSelected="1" workbookViewId="0">
      <selection activeCell="E6" sqref="E6"/>
    </sheetView>
  </sheetViews>
  <sheetFormatPr defaultColWidth="8.81640625" defaultRowHeight="12.5"/>
  <cols>
    <col min="1" max="1" width="3.7265625" style="5" customWidth="1"/>
    <col min="2" max="2" width="17.81640625" style="5" customWidth="1"/>
    <col min="3" max="3" width="11.1796875" style="5" customWidth="1"/>
    <col min="4" max="4" width="8.453125" style="5" bestFit="1" customWidth="1"/>
    <col min="5" max="5" width="25.26953125" style="5" customWidth="1"/>
    <col min="6" max="8" width="8.81640625" style="5"/>
    <col min="9" max="11" width="8.81640625" style="5" customWidth="1"/>
    <col min="12" max="12" width="11.81640625" style="5" customWidth="1"/>
    <col min="13" max="13" width="12.26953125" style="5" customWidth="1"/>
    <col min="14" max="15" width="8.81640625" style="5" customWidth="1"/>
    <col min="16" max="16" width="10.7265625" style="5" customWidth="1"/>
    <col min="17" max="17" width="13.1796875" style="5" customWidth="1"/>
    <col min="18" max="18" width="10.54296875" style="5" customWidth="1"/>
    <col min="19" max="20" width="8.81640625" style="5" customWidth="1"/>
    <col min="21" max="21" width="11.81640625" style="5" customWidth="1"/>
    <col min="22" max="22" width="10.7265625" style="5" customWidth="1"/>
    <col min="23" max="16384" width="8.81640625" style="5"/>
  </cols>
  <sheetData>
    <row r="1" spans="1:22" ht="13.5" thickBot="1">
      <c r="A1" s="3" t="s">
        <v>74</v>
      </c>
      <c r="B1" s="4"/>
      <c r="C1" s="4"/>
      <c r="D1" s="4"/>
      <c r="E1" s="4"/>
      <c r="F1" s="4"/>
      <c r="G1" s="4"/>
      <c r="H1" s="4"/>
      <c r="I1" s="4"/>
      <c r="L1" s="6">
        <f>MOD($I$13*I15+$J$13,2^32)</f>
        <v>777344548</v>
      </c>
      <c r="M1" s="20">
        <f>L1/2^32</f>
        <v>0.18098963145166636</v>
      </c>
      <c r="P1" s="46" t="s">
        <v>77</v>
      </c>
    </row>
    <row r="2" spans="1:22" ht="20.5" thickBot="1">
      <c r="A2" s="7" t="s">
        <v>24</v>
      </c>
      <c r="B2" s="4"/>
      <c r="C2" s="4"/>
      <c r="D2" s="4"/>
      <c r="E2" s="8" t="s">
        <v>59</v>
      </c>
      <c r="F2" s="4"/>
      <c r="G2" s="4"/>
      <c r="H2" s="4"/>
      <c r="I2" s="9">
        <f>FIND(" ",E2)</f>
        <v>5</v>
      </c>
      <c r="L2" s="6">
        <f t="shared" ref="L2:L10" si="0">MOD($I$13*L1+$J$13,2^32)</f>
        <v>1904218737</v>
      </c>
      <c r="M2" s="20">
        <f>L2/2^32</f>
        <v>0.44336047419346869</v>
      </c>
      <c r="P2" s="45" t="s">
        <v>12</v>
      </c>
      <c r="Q2" s="45" t="s">
        <v>102</v>
      </c>
      <c r="R2" s="45" t="s">
        <v>13</v>
      </c>
      <c r="U2" t="s">
        <v>44</v>
      </c>
      <c r="V2" s="47">
        <v>43590</v>
      </c>
    </row>
    <row r="3" spans="1:22" ht="18" thickBot="1">
      <c r="A3" s="10" t="s">
        <v>25</v>
      </c>
      <c r="B3" s="4"/>
      <c r="C3" s="4"/>
      <c r="D3" s="4"/>
      <c r="E3" s="11" t="s">
        <v>60</v>
      </c>
      <c r="F3" s="4"/>
      <c r="G3" s="4"/>
      <c r="H3" s="4"/>
      <c r="I3" s="9" t="str">
        <f>MID(E2,1,1)</f>
        <v>B</v>
      </c>
      <c r="J3" s="5">
        <f>CODE(I3)+2</f>
        <v>68</v>
      </c>
      <c r="L3" s="6">
        <f t="shared" si="0"/>
        <v>2080445272</v>
      </c>
      <c r="M3" s="20">
        <f>L3/2^32</f>
        <v>0.48439141176640987</v>
      </c>
      <c r="P3" s="46" t="s">
        <v>90</v>
      </c>
      <c r="U3" t="s">
        <v>47</v>
      </c>
      <c r="V3" s="28">
        <f>20000+40000*Summary!M8</f>
        <v>47073.792554438114</v>
      </c>
    </row>
    <row r="4" spans="1:22" ht="17.5">
      <c r="A4" s="12" t="s">
        <v>52</v>
      </c>
      <c r="B4" s="4"/>
      <c r="C4" s="13"/>
      <c r="D4" s="4"/>
      <c r="E4" s="14"/>
      <c r="F4" s="15"/>
      <c r="G4" s="15"/>
      <c r="H4" s="10"/>
      <c r="I4" s="9" t="str">
        <f>MID(E2,2,1)</f>
        <v>r</v>
      </c>
      <c r="J4" s="5">
        <f>CODE(I4)+2</f>
        <v>116</v>
      </c>
      <c r="L4" s="6">
        <f t="shared" si="0"/>
        <v>2898948628</v>
      </c>
      <c r="M4" s="20">
        <f>L4/2^32</f>
        <v>0.67496407497674227</v>
      </c>
      <c r="P4" s="44" t="s">
        <v>20</v>
      </c>
      <c r="Q4" s="44" t="s">
        <v>21</v>
      </c>
      <c r="R4" s="44" t="s">
        <v>22</v>
      </c>
      <c r="U4" t="s">
        <v>45</v>
      </c>
      <c r="V4">
        <f>V5/2.95</f>
        <v>187567.79661016949</v>
      </c>
    </row>
    <row r="5" spans="1:22" ht="14.5">
      <c r="A5" s="4"/>
      <c r="B5" s="16"/>
      <c r="C5" s="13"/>
      <c r="D5" s="4"/>
      <c r="E5" s="4"/>
      <c r="F5" s="4"/>
      <c r="G5" s="4"/>
      <c r="H5" s="4"/>
      <c r="I5" s="9" t="str">
        <f>MID(E2,I2+1,1)</f>
        <v>M</v>
      </c>
      <c r="J5" s="5">
        <f>CODE(I5)+2</f>
        <v>79</v>
      </c>
      <c r="L5" s="6">
        <f t="shared" si="0"/>
        <v>2252549536</v>
      </c>
      <c r="M5" s="20">
        <f t="shared" ref="M5:M68" si="1">L5/2^32</f>
        <v>0.52446255832910538</v>
      </c>
      <c r="P5" s="46" t="s">
        <v>91</v>
      </c>
      <c r="U5" t="s">
        <v>46</v>
      </c>
      <c r="V5">
        <f>SUM('Run Data'!F2:F1500)</f>
        <v>553325</v>
      </c>
    </row>
    <row r="6" spans="1:22">
      <c r="A6" s="17"/>
      <c r="B6" s="18"/>
      <c r="C6" s="18"/>
      <c r="D6" s="18"/>
      <c r="E6" s="19"/>
      <c r="F6" s="18"/>
      <c r="G6" s="18"/>
      <c r="H6" s="4"/>
      <c r="I6" s="9"/>
      <c r="L6" s="6">
        <f t="shared" si="0"/>
        <v>4168265660</v>
      </c>
      <c r="M6" s="20">
        <f t="shared" si="1"/>
        <v>0.9704999765381217</v>
      </c>
      <c r="P6" s="44" t="s">
        <v>35</v>
      </c>
      <c r="Q6" s="44" t="s">
        <v>36</v>
      </c>
      <c r="R6" s="44" t="s">
        <v>37</v>
      </c>
      <c r="S6" s="44" t="s">
        <v>38</v>
      </c>
    </row>
    <row r="7" spans="1:22" ht="14.5">
      <c r="A7" s="29" t="s">
        <v>51</v>
      </c>
      <c r="B7" s="29"/>
      <c r="C7" s="29"/>
      <c r="D7" s="29"/>
      <c r="E7" s="29"/>
      <c r="F7" s="29"/>
      <c r="G7" s="29"/>
      <c r="H7" s="4"/>
      <c r="I7" s="9"/>
      <c r="J7" s="5">
        <f>J3*J4*J5-77</f>
        <v>623075</v>
      </c>
      <c r="L7" s="6">
        <f t="shared" si="0"/>
        <v>3887994664</v>
      </c>
      <c r="M7" s="20">
        <f t="shared" si="1"/>
        <v>0.90524430014193058</v>
      </c>
      <c r="P7" s="46" t="s">
        <v>1</v>
      </c>
    </row>
    <row r="8" spans="1:22" ht="14.5">
      <c r="A8" s="31" t="s">
        <v>53</v>
      </c>
      <c r="C8" s="29"/>
      <c r="D8" s="29"/>
      <c r="E8" s="29"/>
      <c r="F8" s="29"/>
      <c r="G8" s="29"/>
      <c r="H8" s="4"/>
      <c r="I8" s="9"/>
      <c r="L8" s="6">
        <f t="shared" si="0"/>
        <v>2907026340</v>
      </c>
      <c r="M8" s="20">
        <f t="shared" si="1"/>
        <v>0.67684481386095285</v>
      </c>
      <c r="P8" s="44" t="s">
        <v>14</v>
      </c>
      <c r="Q8" s="44" t="s">
        <v>42</v>
      </c>
      <c r="R8" s="44" t="s">
        <v>16</v>
      </c>
      <c r="S8" s="44" t="s">
        <v>15</v>
      </c>
      <c r="T8"/>
    </row>
    <row r="9" spans="1:22" ht="14.5">
      <c r="A9" s="29" t="s">
        <v>54</v>
      </c>
      <c r="B9" s="29"/>
      <c r="C9" s="29"/>
      <c r="D9" s="29"/>
      <c r="E9" s="29"/>
      <c r="F9" s="29"/>
      <c r="G9" s="29"/>
      <c r="H9" s="4"/>
      <c r="I9" s="9"/>
      <c r="L9" s="6">
        <f t="shared" si="0"/>
        <v>944787952</v>
      </c>
      <c r="M9" s="20">
        <f t="shared" si="1"/>
        <v>0.21997558698058128</v>
      </c>
      <c r="P9" s="46" t="s">
        <v>2</v>
      </c>
    </row>
    <row r="10" spans="1:22" ht="14.5">
      <c r="A10" s="29" t="s">
        <v>56</v>
      </c>
      <c r="B10" s="29"/>
      <c r="C10" s="29"/>
      <c r="D10" s="29"/>
      <c r="E10" s="29"/>
      <c r="F10" s="29"/>
      <c r="G10" s="29"/>
      <c r="I10" s="21" t="s">
        <v>27</v>
      </c>
      <c r="J10" s="5">
        <f>IF(M12&lt;0.5,1,0)</f>
        <v>0</v>
      </c>
      <c r="L10" s="6">
        <f t="shared" si="0"/>
        <v>1366955981</v>
      </c>
      <c r="M10" s="20">
        <f t="shared" si="1"/>
        <v>0.31826924090273678</v>
      </c>
      <c r="P10" s="53" t="s">
        <v>18</v>
      </c>
      <c r="Q10" s="44" t="s">
        <v>17</v>
      </c>
    </row>
    <row r="11" spans="1:22" ht="14.5">
      <c r="A11" s="29" t="s">
        <v>55</v>
      </c>
      <c r="B11" s="29"/>
      <c r="C11" s="29"/>
      <c r="D11" s="29"/>
      <c r="E11" s="29"/>
      <c r="F11" s="29"/>
      <c r="G11" s="29"/>
      <c r="I11" s="21" t="s">
        <v>28</v>
      </c>
      <c r="J11" s="5">
        <f>IF(M20&lt;0.5,1,0)</f>
        <v>1</v>
      </c>
      <c r="L11" s="6">
        <f t="shared" ref="L11:L18" si="2">MOD($I$13*L10+$J$13,2^32)</f>
        <v>1243702532</v>
      </c>
      <c r="M11" s="20">
        <f t="shared" si="1"/>
        <v>0.28957206103950739</v>
      </c>
      <c r="P11" s="1" t="s">
        <v>7</v>
      </c>
      <c r="Q11"/>
      <c r="R11"/>
      <c r="S11"/>
      <c r="T11"/>
    </row>
    <row r="12" spans="1:22" ht="14.5">
      <c r="A12" s="30" t="s">
        <v>57</v>
      </c>
      <c r="B12" s="29"/>
      <c r="C12" s="29"/>
      <c r="D12" s="29"/>
      <c r="E12" s="29"/>
      <c r="F12" s="29"/>
      <c r="G12" s="29"/>
      <c r="L12" s="6">
        <f t="shared" si="2"/>
        <v>2189505488</v>
      </c>
      <c r="M12" s="20">
        <f t="shared" si="1"/>
        <v>0.50978397205471992</v>
      </c>
      <c r="P12"/>
      <c r="Q12" t="s">
        <v>8</v>
      </c>
      <c r="R12" t="s">
        <v>81</v>
      </c>
      <c r="S12" t="s">
        <v>76</v>
      </c>
      <c r="T12"/>
    </row>
    <row r="13" spans="1:22" ht="14.5">
      <c r="A13" s="30" t="s">
        <v>58</v>
      </c>
      <c r="B13" s="29"/>
      <c r="C13"/>
      <c r="D13"/>
      <c r="E13"/>
      <c r="F13"/>
      <c r="G13"/>
      <c r="I13" s="56">
        <v>8369421</v>
      </c>
      <c r="J13" s="56">
        <v>90652317</v>
      </c>
      <c r="L13" s="6">
        <f t="shared" si="2"/>
        <v>3016290348</v>
      </c>
      <c r="M13" s="20">
        <f t="shared" si="1"/>
        <v>0.70228482317179441</v>
      </c>
      <c r="P13" s="2">
        <v>0</v>
      </c>
      <c r="Q13" t="str">
        <f>CONCATENATE($P$4,"-",P6)</f>
        <v>B600-plum</v>
      </c>
      <c r="R13" s="42">
        <v>0.05</v>
      </c>
      <c r="S13" s="43">
        <v>200</v>
      </c>
      <c r="T13"/>
    </row>
    <row r="14" spans="1:22" ht="14.5">
      <c r="A14" s="29" t="s">
        <v>96</v>
      </c>
      <c r="B14"/>
      <c r="C14"/>
      <c r="D14"/>
      <c r="E14"/>
      <c r="F14"/>
      <c r="G14"/>
      <c r="I14" s="6" t="s">
        <v>26</v>
      </c>
      <c r="J14" s="6"/>
      <c r="L14" s="6">
        <f t="shared" si="2"/>
        <v>1581157592</v>
      </c>
      <c r="M14" s="20">
        <f t="shared" si="1"/>
        <v>0.36814193986356258</v>
      </c>
      <c r="P14" s="2">
        <f t="shared" ref="P14:P24" si="3">P13+R13</f>
        <v>0.05</v>
      </c>
      <c r="Q14" t="str">
        <f>CONCATENATE($P$4,"-",Q6)</f>
        <v>B600-sky</v>
      </c>
      <c r="R14" s="42">
        <v>0.06</v>
      </c>
      <c r="S14" s="43">
        <v>500</v>
      </c>
      <c r="T14"/>
      <c r="U14" s="1" t="s">
        <v>95</v>
      </c>
      <c r="V14"/>
    </row>
    <row r="15" spans="1:22" ht="14.5">
      <c r="A15" s="29" t="s">
        <v>97</v>
      </c>
      <c r="B15"/>
      <c r="C15"/>
      <c r="D15"/>
      <c r="E15"/>
      <c r="F15"/>
      <c r="G15"/>
      <c r="I15" s="6">
        <f>J7</f>
        <v>623075</v>
      </c>
      <c r="J15" s="6"/>
      <c r="L15" s="6">
        <f t="shared" si="2"/>
        <v>3880852884</v>
      </c>
      <c r="M15" s="20">
        <f t="shared" si="1"/>
        <v>0.90358147490769625</v>
      </c>
      <c r="P15" s="2">
        <f t="shared" si="3"/>
        <v>0.11</v>
      </c>
      <c r="Q15" t="str">
        <f>CONCATENATE($P$4,"-",R6)</f>
        <v>B600-fire</v>
      </c>
      <c r="R15" s="42">
        <v>0.06</v>
      </c>
      <c r="S15" s="43">
        <v>400</v>
      </c>
      <c r="T15"/>
      <c r="U15" t="s">
        <v>78</v>
      </c>
      <c r="V15"/>
    </row>
    <row r="16" spans="1:22" ht="14.5">
      <c r="A16"/>
      <c r="B16"/>
      <c r="C16"/>
      <c r="D16"/>
      <c r="E16"/>
      <c r="F16"/>
      <c r="G16"/>
      <c r="I16" s="24"/>
      <c r="L16" s="6">
        <f t="shared" si="2"/>
        <v>3403375392</v>
      </c>
      <c r="M16" s="20">
        <f t="shared" si="1"/>
        <v>0.79241008311510086</v>
      </c>
      <c r="P16" s="2">
        <f t="shared" si="3"/>
        <v>0.16999999999999998</v>
      </c>
      <c r="Q16" t="str">
        <f>CONCATENATE($P$4,"-",S6)</f>
        <v>B600-lime</v>
      </c>
      <c r="R16" s="42">
        <v>0.05</v>
      </c>
      <c r="S16" s="43">
        <v>300</v>
      </c>
      <c r="T16"/>
      <c r="U16" t="s">
        <v>9</v>
      </c>
      <c r="V16" t="s">
        <v>10</v>
      </c>
    </row>
    <row r="17" spans="1:22" ht="14.5">
      <c r="A17" s="31" t="s">
        <v>98</v>
      </c>
      <c r="B17"/>
      <c r="C17"/>
      <c r="D17"/>
      <c r="E17"/>
      <c r="F17"/>
      <c r="G17"/>
      <c r="I17" s="24"/>
      <c r="L17" s="6">
        <f t="shared" si="2"/>
        <v>2625693500</v>
      </c>
      <c r="M17" s="20">
        <f t="shared" si="1"/>
        <v>0.61134190764278173</v>
      </c>
      <c r="P17" s="2">
        <f t="shared" si="3"/>
        <v>0.21999999999999997</v>
      </c>
      <c r="Q17" t="str">
        <f>CONCATENATE($Q$4,"-",P6)</f>
        <v>B1200-plum</v>
      </c>
      <c r="R17" s="42">
        <v>0.11</v>
      </c>
      <c r="S17" s="43">
        <v>450</v>
      </c>
      <c r="T17"/>
      <c r="U17" t="s">
        <v>11</v>
      </c>
      <c r="V17"/>
    </row>
    <row r="18" spans="1:22" ht="14.5">
      <c r="A18" s="29"/>
      <c r="B18" s="29"/>
      <c r="C18"/>
      <c r="D18"/>
      <c r="E18"/>
      <c r="F18"/>
      <c r="G18"/>
      <c r="I18" s="24"/>
      <c r="L18" s="6">
        <f t="shared" si="2"/>
        <v>3526650024</v>
      </c>
      <c r="M18" s="20">
        <f t="shared" si="1"/>
        <v>0.82111219502985477</v>
      </c>
      <c r="P18" s="2">
        <f t="shared" si="3"/>
        <v>0.32999999999999996</v>
      </c>
      <c r="Q18" t="str">
        <f>CONCATENATE($Q$4,"-",Q6)</f>
        <v>B1200-sky</v>
      </c>
      <c r="R18" s="42">
        <v>0.12</v>
      </c>
      <c r="S18" s="43">
        <v>1200</v>
      </c>
      <c r="T18"/>
    </row>
    <row r="19" spans="1:22" ht="14.5">
      <c r="A19"/>
      <c r="B19"/>
      <c r="C19"/>
      <c r="D19"/>
      <c r="E19"/>
      <c r="F19"/>
      <c r="G19"/>
      <c r="I19" s="24"/>
      <c r="L19" s="6">
        <f>MOD($I$13*L18+$J$13,2^32)</f>
        <v>2875676452</v>
      </c>
      <c r="M19" s="20">
        <f t="shared" si="1"/>
        <v>0.66954559925943613</v>
      </c>
      <c r="P19" s="2">
        <f t="shared" si="3"/>
        <v>0.44999999999999996</v>
      </c>
      <c r="Q19" t="str">
        <f>CONCATENATE($Q$4,"-",R6)</f>
        <v>B1200-fire</v>
      </c>
      <c r="R19" s="42">
        <v>0.1</v>
      </c>
      <c r="S19" s="43">
        <v>1200</v>
      </c>
      <c r="T19"/>
    </row>
    <row r="20" spans="1:22" ht="14.5">
      <c r="A20" s="31"/>
      <c r="B20"/>
      <c r="C20"/>
      <c r="D20"/>
      <c r="E20"/>
      <c r="F20"/>
      <c r="G20"/>
      <c r="I20" s="24"/>
      <c r="L20" s="6">
        <f t="shared" ref="L20:L65" si="4">MOD($I$13*L19+$J$13,2^32)</f>
        <v>85925744</v>
      </c>
      <c r="M20" s="20">
        <f t="shared" si="1"/>
        <v>2.0006146281957626E-2</v>
      </c>
      <c r="P20" s="2">
        <f>P19+R19</f>
        <v>0.54999999999999993</v>
      </c>
      <c r="Q20" t="str">
        <f>CONCATENATE($Q$4,"-",S6)</f>
        <v>B1200-lime</v>
      </c>
      <c r="R20" s="42">
        <v>0.15</v>
      </c>
      <c r="S20" s="43">
        <v>800</v>
      </c>
      <c r="T20"/>
    </row>
    <row r="21" spans="1:22" ht="14.5">
      <c r="A21"/>
      <c r="B21"/>
      <c r="C21"/>
      <c r="D21"/>
      <c r="E21"/>
      <c r="F21"/>
      <c r="G21"/>
      <c r="I21" s="24"/>
      <c r="L21" s="6">
        <f t="shared" si="4"/>
        <v>3787851597</v>
      </c>
      <c r="M21" s="20">
        <f t="shared" si="1"/>
        <v>0.88192792539484799</v>
      </c>
      <c r="P21" s="2">
        <f t="shared" si="3"/>
        <v>0.7</v>
      </c>
      <c r="Q21" t="str">
        <f>CONCATENATE($R$4,"-",P6)</f>
        <v>B1700-plum</v>
      </c>
      <c r="R21" s="42">
        <v>7.0000000000000007E-2</v>
      </c>
      <c r="S21" s="43">
        <v>300</v>
      </c>
      <c r="T21"/>
    </row>
    <row r="22" spans="1:22" ht="14.5">
      <c r="A22"/>
      <c r="B22"/>
      <c r="C22"/>
      <c r="D22"/>
      <c r="E22"/>
      <c r="F22"/>
      <c r="G22"/>
      <c r="I22" s="24"/>
      <c r="L22" s="6">
        <f t="shared" si="4"/>
        <v>517082756</v>
      </c>
      <c r="M22" s="20">
        <f t="shared" si="1"/>
        <v>0.12039271090179682</v>
      </c>
      <c r="P22" s="2">
        <f t="shared" si="3"/>
        <v>0.77</v>
      </c>
      <c r="Q22" t="str">
        <f>CONCATENATE($R$4,"-",Q6)</f>
        <v>B1700-sky</v>
      </c>
      <c r="R22" s="42">
        <v>0.08</v>
      </c>
      <c r="S22" s="43">
        <v>550</v>
      </c>
      <c r="T22"/>
    </row>
    <row r="23" spans="1:22" ht="14.5">
      <c r="B23"/>
      <c r="C23"/>
      <c r="D23"/>
      <c r="E23"/>
      <c r="F23"/>
      <c r="G23"/>
      <c r="I23" s="24"/>
      <c r="L23" s="6">
        <f t="shared" si="4"/>
        <v>1305562961</v>
      </c>
      <c r="M23" s="20">
        <f t="shared" si="1"/>
        <v>0.30397506454028189</v>
      </c>
      <c r="P23" s="2">
        <f t="shared" si="3"/>
        <v>0.85</v>
      </c>
      <c r="Q23" t="str">
        <f>CONCATENATE($R$4,"-",R6)</f>
        <v>B1700-fire</v>
      </c>
      <c r="R23" s="42">
        <v>0.06</v>
      </c>
      <c r="S23" s="43">
        <v>750</v>
      </c>
      <c r="T23"/>
    </row>
    <row r="24" spans="1:22" ht="14.5">
      <c r="A24"/>
      <c r="B24"/>
      <c r="C24"/>
      <c r="D24"/>
      <c r="E24"/>
      <c r="F24"/>
      <c r="G24"/>
      <c r="L24" s="6">
        <f t="shared" si="4"/>
        <v>1330350776</v>
      </c>
      <c r="M24" s="20">
        <f t="shared" si="1"/>
        <v>0.30974642746150494</v>
      </c>
      <c r="P24" s="2">
        <f t="shared" si="3"/>
        <v>0.90999999999999992</v>
      </c>
      <c r="Q24" t="str">
        <f>CONCATENATE($R$4,"-",S6)</f>
        <v>B1700-lime</v>
      </c>
      <c r="R24" s="42">
        <v>0.09</v>
      </c>
      <c r="S24" s="43">
        <v>400</v>
      </c>
      <c r="T24"/>
    </row>
    <row r="25" spans="1:22" ht="14.5">
      <c r="A25"/>
      <c r="B25"/>
      <c r="C25"/>
      <c r="D25"/>
      <c r="E25"/>
      <c r="F25"/>
      <c r="G25"/>
      <c r="L25" s="6">
        <f t="shared" si="4"/>
        <v>1184457204</v>
      </c>
      <c r="M25" s="20">
        <f t="shared" si="1"/>
        <v>0.27577793318778276</v>
      </c>
      <c r="P25" s="1" t="s">
        <v>82</v>
      </c>
      <c r="Q25"/>
      <c r="R25">
        <f>SUM(R13:R24)</f>
        <v>0.99999999999999989</v>
      </c>
      <c r="S25"/>
      <c r="T25"/>
    </row>
    <row r="26" spans="1:22" ht="14.5">
      <c r="A26"/>
      <c r="B26"/>
      <c r="C26"/>
      <c r="D26"/>
      <c r="E26"/>
      <c r="F26"/>
      <c r="G26"/>
      <c r="L26" s="6">
        <f t="shared" si="4"/>
        <v>2776546304</v>
      </c>
      <c r="M26" s="20">
        <f t="shared" si="1"/>
        <v>0.64646506309509277</v>
      </c>
      <c r="P26" t="str">
        <f>P2</f>
        <v>Neesha</v>
      </c>
      <c r="Q26" s="55">
        <v>0</v>
      </c>
      <c r="R26" s="43" t="str">
        <f>P8</f>
        <v>Sprig 1</v>
      </c>
      <c r="S26" s="42">
        <v>0.75</v>
      </c>
      <c r="T26"/>
    </row>
    <row r="27" spans="1:22" ht="14.5">
      <c r="A27"/>
      <c r="B27"/>
      <c r="C27"/>
      <c r="D27"/>
      <c r="E27"/>
      <c r="F27"/>
      <c r="G27"/>
      <c r="L27" s="6">
        <f t="shared" si="4"/>
        <v>1271057052</v>
      </c>
      <c r="M27" s="20">
        <f t="shared" si="1"/>
        <v>0.29594103153795004</v>
      </c>
      <c r="P27"/>
      <c r="Q27" s="55">
        <f>Q26+S26</f>
        <v>0.75</v>
      </c>
      <c r="R27" s="43" t="str">
        <f>S8</f>
        <v>Sprig 4</v>
      </c>
      <c r="S27" s="42">
        <v>0.25</v>
      </c>
      <c r="T27"/>
    </row>
    <row r="28" spans="1:22" ht="14.5">
      <c r="A28"/>
      <c r="B28"/>
      <c r="C28"/>
      <c r="D28"/>
      <c r="E28"/>
      <c r="F28"/>
      <c r="G28"/>
      <c r="L28" s="6">
        <f t="shared" si="4"/>
        <v>451925128</v>
      </c>
      <c r="M28" s="20">
        <f t="shared" si="1"/>
        <v>0.10522201843559742</v>
      </c>
      <c r="P28" t="str">
        <f>Q2</f>
        <v>Reed</v>
      </c>
      <c r="Q28" s="55">
        <v>0</v>
      </c>
      <c r="R28" s="43" t="str">
        <f>Q8</f>
        <v>Sprig 2</v>
      </c>
      <c r="S28" s="42">
        <v>0.8</v>
      </c>
      <c r="T28"/>
    </row>
    <row r="29" spans="1:22" ht="14.5">
      <c r="A29"/>
      <c r="B29"/>
      <c r="C29"/>
      <c r="D29"/>
      <c r="E29"/>
      <c r="F29"/>
      <c r="G29"/>
      <c r="L29" s="6">
        <f t="shared" si="4"/>
        <v>1683042693</v>
      </c>
      <c r="M29" s="20">
        <f t="shared" si="1"/>
        <v>0.3918639135081321</v>
      </c>
      <c r="P29"/>
      <c r="Q29" s="55">
        <f>Q28+S28</f>
        <v>0.8</v>
      </c>
      <c r="R29" s="43" t="str">
        <f>S8</f>
        <v>Sprig 4</v>
      </c>
      <c r="S29" s="42">
        <v>0.2</v>
      </c>
      <c r="T29"/>
    </row>
    <row r="30" spans="1:22" ht="14.5">
      <c r="A30"/>
      <c r="B30"/>
      <c r="C30"/>
      <c r="D30"/>
      <c r="E30"/>
      <c r="F30"/>
      <c r="G30"/>
      <c r="L30" s="6">
        <f t="shared" si="4"/>
        <v>377801564</v>
      </c>
      <c r="M30" s="20">
        <f t="shared" si="1"/>
        <v>8.796378131955862E-2</v>
      </c>
      <c r="P30" t="str">
        <f>R2</f>
        <v>Jared</v>
      </c>
      <c r="Q30" s="55">
        <v>0</v>
      </c>
      <c r="R30" s="43" t="str">
        <f>P8</f>
        <v>Sprig 1</v>
      </c>
      <c r="S30" s="42">
        <v>0.2</v>
      </c>
      <c r="T30"/>
    </row>
    <row r="31" spans="1:22" ht="14.5">
      <c r="A31"/>
      <c r="B31"/>
      <c r="C31"/>
      <c r="D31"/>
      <c r="E31"/>
      <c r="F31"/>
      <c r="G31"/>
      <c r="L31" s="6">
        <f t="shared" si="4"/>
        <v>4036075081</v>
      </c>
      <c r="M31" s="20">
        <f t="shared" si="1"/>
        <v>0.939721958944574</v>
      </c>
      <c r="P31"/>
      <c r="Q31" s="55">
        <f>Q30+S30</f>
        <v>0.2</v>
      </c>
      <c r="R31" s="43" t="str">
        <f>Q8</f>
        <v>Sprig 2</v>
      </c>
      <c r="S31" s="42">
        <v>0.4</v>
      </c>
      <c r="T31"/>
    </row>
    <row r="32" spans="1:22" ht="14.5">
      <c r="A32"/>
      <c r="B32"/>
      <c r="C32"/>
      <c r="D32"/>
      <c r="E32"/>
      <c r="F32"/>
      <c r="G32"/>
      <c r="L32" s="6">
        <f t="shared" si="4"/>
        <v>3085755728</v>
      </c>
      <c r="M32" s="20">
        <f t="shared" si="1"/>
        <v>0.71845849230885506</v>
      </c>
      <c r="P32"/>
      <c r="Q32" s="55">
        <f>Q31+S31</f>
        <v>0.60000000000000009</v>
      </c>
      <c r="R32" s="43" t="str">
        <f>R8</f>
        <v>Sprig 3</v>
      </c>
      <c r="S32" s="42">
        <v>0.4</v>
      </c>
      <c r="T32"/>
    </row>
    <row r="33" spans="1:20" ht="14.5">
      <c r="A33"/>
      <c r="B33"/>
      <c r="C33"/>
      <c r="D33"/>
      <c r="E33"/>
      <c r="F33"/>
      <c r="G33"/>
      <c r="L33" s="6">
        <f t="shared" si="4"/>
        <v>2638246828</v>
      </c>
      <c r="M33" s="20">
        <f t="shared" si="1"/>
        <v>0.61426470708101988</v>
      </c>
      <c r="P33" s="1" t="s">
        <v>5</v>
      </c>
      <c r="Q33"/>
      <c r="R33"/>
      <c r="S33"/>
      <c r="T33"/>
    </row>
    <row r="34" spans="1:20" ht="14.5">
      <c r="A34"/>
      <c r="B34"/>
      <c r="C34"/>
      <c r="D34"/>
      <c r="E34"/>
      <c r="F34"/>
      <c r="G34"/>
      <c r="L34" s="6">
        <f t="shared" si="4"/>
        <v>4123638360</v>
      </c>
      <c r="M34" s="20">
        <f t="shared" si="1"/>
        <v>0.96010937355458736</v>
      </c>
      <c r="P34" t="s">
        <v>83</v>
      </c>
      <c r="Q34"/>
      <c r="R34"/>
      <c r="S34"/>
      <c r="T34"/>
    </row>
    <row r="35" spans="1:20" ht="14.5">
      <c r="A35"/>
      <c r="B35"/>
      <c r="C35"/>
      <c r="D35"/>
      <c r="E35"/>
      <c r="F35"/>
      <c r="G35"/>
      <c r="L35" s="6">
        <f t="shared" si="4"/>
        <v>2467163412</v>
      </c>
      <c r="M35" s="20">
        <f t="shared" si="1"/>
        <v>0.57443124521523714</v>
      </c>
      <c r="P35" t="s">
        <v>19</v>
      </c>
      <c r="Q35"/>
      <c r="R35"/>
      <c r="S35"/>
    </row>
    <row r="36" spans="1:20" ht="12.75" customHeight="1">
      <c r="A36"/>
      <c r="B36"/>
      <c r="C36"/>
      <c r="D36"/>
      <c r="E36"/>
      <c r="F36"/>
      <c r="G36"/>
      <c r="L36" s="6">
        <f t="shared" si="4"/>
        <v>4071058592</v>
      </c>
      <c r="M36" s="20">
        <f t="shared" si="1"/>
        <v>0.94786719232797623</v>
      </c>
      <c r="P36" t="str">
        <f>P4</f>
        <v>B600</v>
      </c>
      <c r="Q36" s="43">
        <v>20</v>
      </c>
      <c r="R36" t="s">
        <v>29</v>
      </c>
      <c r="S36"/>
    </row>
    <row r="37" spans="1:20" ht="14.5">
      <c r="A37"/>
      <c r="B37"/>
      <c r="C37"/>
      <c r="D37"/>
      <c r="E37"/>
      <c r="F37"/>
      <c r="G37"/>
      <c r="L37" s="6">
        <f t="shared" si="4"/>
        <v>2601837244</v>
      </c>
      <c r="M37" s="20">
        <f t="shared" si="1"/>
        <v>0.60578744020313025</v>
      </c>
      <c r="P37" t="str">
        <f>Q4</f>
        <v>B1200</v>
      </c>
      <c r="Q37" s="43">
        <v>30</v>
      </c>
      <c r="R37" t="s">
        <v>29</v>
      </c>
      <c r="S37"/>
    </row>
    <row r="38" spans="1:20" ht="14.5">
      <c r="A38"/>
      <c r="B38"/>
      <c r="C38"/>
      <c r="D38"/>
      <c r="E38"/>
      <c r="F38"/>
      <c r="G38"/>
      <c r="L38" s="6">
        <f t="shared" si="4"/>
        <v>621391400</v>
      </c>
      <c r="M38" s="20">
        <f t="shared" si="1"/>
        <v>0.14467895962297916</v>
      </c>
      <c r="P38" t="str">
        <f>R4</f>
        <v>B1700</v>
      </c>
      <c r="Q38" s="43">
        <v>25</v>
      </c>
      <c r="R38" t="s">
        <v>29</v>
      </c>
      <c r="S38"/>
    </row>
    <row r="39" spans="1:20" ht="14.5">
      <c r="A39"/>
      <c r="B39"/>
      <c r="C39"/>
      <c r="D39"/>
      <c r="E39"/>
      <c r="F39"/>
      <c r="G39"/>
      <c r="L39" s="6">
        <f t="shared" si="4"/>
        <v>618618533</v>
      </c>
      <c r="M39" s="20">
        <f t="shared" si="1"/>
        <v>0.14403335121460259</v>
      </c>
      <c r="P39" t="s">
        <v>23</v>
      </c>
      <c r="Q39"/>
      <c r="R39"/>
      <c r="S39"/>
      <c r="T39"/>
    </row>
    <row r="40" spans="1:20" ht="14.5">
      <c r="A40"/>
      <c r="B40"/>
      <c r="C40"/>
      <c r="D40"/>
      <c r="E40"/>
      <c r="F40"/>
      <c r="G40"/>
      <c r="L40" s="6">
        <f t="shared" si="4"/>
        <v>3330586110</v>
      </c>
      <c r="M40" s="20">
        <f t="shared" si="1"/>
        <v>0.77546250773593783</v>
      </c>
      <c r="P40"/>
      <c r="R40"/>
      <c r="S40"/>
      <c r="T40"/>
    </row>
    <row r="41" spans="1:20" ht="14.5">
      <c r="A41"/>
      <c r="B41"/>
      <c r="C41"/>
      <c r="D41"/>
      <c r="E41"/>
      <c r="F41"/>
      <c r="G41"/>
      <c r="L41" s="6">
        <f t="shared" si="4"/>
        <v>936579716</v>
      </c>
      <c r="M41" s="20">
        <f t="shared" si="1"/>
        <v>0.21806445810943842</v>
      </c>
      <c r="P41" s="1" t="s">
        <v>84</v>
      </c>
      <c r="Q41"/>
      <c r="R41"/>
      <c r="S41"/>
      <c r="T41"/>
    </row>
    <row r="42" spans="1:20" ht="14.5">
      <c r="A42"/>
      <c r="B42"/>
      <c r="C42"/>
      <c r="D42"/>
      <c r="E42"/>
      <c r="F42"/>
      <c r="G42"/>
      <c r="L42" s="6">
        <f t="shared" si="4"/>
        <v>1186104145</v>
      </c>
      <c r="M42" s="20">
        <f t="shared" si="1"/>
        <v>0.27616139152087271</v>
      </c>
      <c r="P42" s="50">
        <v>0</v>
      </c>
      <c r="Q42" s="49" t="str">
        <f>P10</f>
        <v>86</v>
      </c>
      <c r="R42" s="42">
        <v>0.85</v>
      </c>
      <c r="S42"/>
      <c r="T42"/>
    </row>
    <row r="43" spans="1:20" ht="14.5">
      <c r="A43"/>
      <c r="B43"/>
      <c r="C43"/>
      <c r="D43"/>
      <c r="E43"/>
      <c r="F43"/>
      <c r="G43"/>
      <c r="L43" s="6">
        <f t="shared" si="4"/>
        <v>4169084600</v>
      </c>
      <c r="M43" s="20">
        <f t="shared" si="1"/>
        <v>0.9706906508654356</v>
      </c>
      <c r="P43" s="50">
        <f>P42+R42</f>
        <v>0.85</v>
      </c>
      <c r="Q43" s="48" t="str">
        <f>Q10</f>
        <v>87b</v>
      </c>
      <c r="R43" s="42">
        <v>0.15</v>
      </c>
      <c r="S43"/>
      <c r="T43"/>
    </row>
    <row r="44" spans="1:20" ht="14.5">
      <c r="A44"/>
      <c r="B44"/>
      <c r="C44"/>
      <c r="D44"/>
      <c r="E44"/>
      <c r="F44"/>
      <c r="G44"/>
      <c r="L44" s="6">
        <f t="shared" si="4"/>
        <v>3173823988</v>
      </c>
      <c r="M44" s="20">
        <f t="shared" si="1"/>
        <v>0.7389634819701314</v>
      </c>
    </row>
    <row r="45" spans="1:20" ht="14.5">
      <c r="A45" s="22"/>
      <c r="B45" s="25"/>
      <c r="L45" s="6">
        <f t="shared" si="4"/>
        <v>2170421248</v>
      </c>
      <c r="M45" s="20">
        <f t="shared" si="1"/>
        <v>0.505340576171875</v>
      </c>
      <c r="P45" t="s">
        <v>39</v>
      </c>
      <c r="Q45"/>
      <c r="R45" s="42">
        <v>0.01</v>
      </c>
    </row>
    <row r="46" spans="1:20" ht="14.5">
      <c r="A46" s="22"/>
      <c r="B46" s="25"/>
      <c r="L46" s="6">
        <f t="shared" si="4"/>
        <v>221068956</v>
      </c>
      <c r="M46" s="20">
        <f t="shared" si="1"/>
        <v>5.1471627317368984E-2</v>
      </c>
      <c r="P46" t="s">
        <v>92</v>
      </c>
      <c r="Q46"/>
      <c r="R46" s="42">
        <v>0.12</v>
      </c>
    </row>
    <row r="47" spans="1:20" ht="14.5">
      <c r="A47" s="22"/>
      <c r="B47" s="25"/>
      <c r="L47" s="6">
        <f t="shared" si="4"/>
        <v>3176904841</v>
      </c>
      <c r="M47" s="20">
        <f t="shared" si="1"/>
        <v>0.73968079895712435</v>
      </c>
      <c r="S47"/>
      <c r="T47"/>
    </row>
    <row r="48" spans="1:20" ht="14.5">
      <c r="A48" s="23"/>
      <c r="B48" s="25"/>
      <c r="L48" s="6">
        <f t="shared" si="4"/>
        <v>142572176</v>
      </c>
      <c r="M48" s="20">
        <f t="shared" si="1"/>
        <v>3.3195171505212784E-2</v>
      </c>
      <c r="S48"/>
      <c r="T48"/>
    </row>
    <row r="49" spans="1:20" ht="14.5">
      <c r="A49" s="22"/>
      <c r="L49" s="6">
        <f t="shared" si="4"/>
        <v>1660438509</v>
      </c>
      <c r="M49" s="20">
        <f t="shared" si="1"/>
        <v>0.3866009667981416</v>
      </c>
      <c r="P49" s="52" t="s">
        <v>86</v>
      </c>
      <c r="S49"/>
      <c r="T49"/>
    </row>
    <row r="50" spans="1:20" ht="14.5">
      <c r="A50" s="22"/>
      <c r="L50" s="6">
        <f t="shared" si="4"/>
        <v>1164998308</v>
      </c>
      <c r="M50" s="20">
        <f t="shared" si="1"/>
        <v>0.27124730590730906</v>
      </c>
      <c r="P50" s="1" t="s">
        <v>79</v>
      </c>
      <c r="Q50"/>
      <c r="R50"/>
      <c r="S50"/>
      <c r="T50"/>
    </row>
    <row r="51" spans="1:20" ht="14.5">
      <c r="A51" s="22"/>
      <c r="L51" s="6">
        <f t="shared" si="4"/>
        <v>3948624112</v>
      </c>
      <c r="M51" s="20">
        <f t="shared" si="1"/>
        <v>0.9193606935441494</v>
      </c>
      <c r="P51" s="48">
        <v>0</v>
      </c>
      <c r="Q51" s="48" t="s">
        <v>30</v>
      </c>
      <c r="R51" s="42">
        <v>0.34</v>
      </c>
      <c r="S51"/>
      <c r="T51"/>
    </row>
    <row r="52" spans="1:20" ht="14.5">
      <c r="A52" s="22"/>
      <c r="L52" s="6">
        <f t="shared" si="4"/>
        <v>3076182732</v>
      </c>
      <c r="M52" s="20">
        <f t="shared" si="1"/>
        <v>0.71622960548847914</v>
      </c>
      <c r="P52" s="48">
        <v>0.34</v>
      </c>
      <c r="Q52" s="48" t="s">
        <v>31</v>
      </c>
      <c r="R52" s="42">
        <v>0.33</v>
      </c>
      <c r="S52"/>
      <c r="T52"/>
    </row>
    <row r="53" spans="1:20" ht="14.5">
      <c r="A53" s="22"/>
      <c r="L53" s="6">
        <f t="shared" si="4"/>
        <v>524431096</v>
      </c>
      <c r="M53" s="20">
        <f t="shared" si="1"/>
        <v>0.12210362963378429</v>
      </c>
      <c r="P53" s="48">
        <v>0.77</v>
      </c>
      <c r="Q53" s="48" t="s">
        <v>32</v>
      </c>
      <c r="R53" s="42">
        <v>0.33</v>
      </c>
      <c r="S53"/>
      <c r="T53"/>
    </row>
    <row r="54" spans="1:20">
      <c r="A54" s="22"/>
      <c r="L54" s="6">
        <f t="shared" si="4"/>
        <v>3019962677</v>
      </c>
      <c r="M54" s="20">
        <f t="shared" si="1"/>
        <v>0.70313985389657319</v>
      </c>
    </row>
    <row r="55" spans="1:20" ht="13">
      <c r="A55" s="22"/>
      <c r="L55" s="6">
        <f t="shared" si="4"/>
        <v>2062638924</v>
      </c>
      <c r="M55" s="20">
        <f t="shared" si="1"/>
        <v>0.48024554830044508</v>
      </c>
      <c r="Q55" s="46" t="s">
        <v>87</v>
      </c>
    </row>
    <row r="56" spans="1:20" ht="14.5">
      <c r="A56" s="22"/>
      <c r="L56" s="6">
        <f t="shared" si="4"/>
        <v>851300728</v>
      </c>
      <c r="M56" s="20">
        <f t="shared" si="1"/>
        <v>0.1982088964432478</v>
      </c>
      <c r="Q56" s="51">
        <v>0</v>
      </c>
      <c r="R56" s="48" t="str">
        <f>P2</f>
        <v>Neesha</v>
      </c>
      <c r="S56" s="44">
        <v>0.33</v>
      </c>
      <c r="T56"/>
    </row>
    <row r="57" spans="1:20" ht="14.5">
      <c r="A57" s="22"/>
      <c r="L57" s="6">
        <f t="shared" si="4"/>
        <v>3098327477</v>
      </c>
      <c r="M57" s="20">
        <f t="shared" si="1"/>
        <v>0.72138558072037995</v>
      </c>
      <c r="Q57" s="51">
        <f>Q56+S56</f>
        <v>0.33</v>
      </c>
      <c r="R57" s="48" t="str">
        <f>Q2</f>
        <v>Reed</v>
      </c>
      <c r="S57" s="44">
        <v>0.34</v>
      </c>
      <c r="T57"/>
    </row>
    <row r="58" spans="1:20" ht="14.5">
      <c r="A58" s="22"/>
      <c r="L58" s="6">
        <f t="shared" si="4"/>
        <v>2789516748</v>
      </c>
      <c r="M58" s="20">
        <f t="shared" si="1"/>
        <v>0.64948497992008924</v>
      </c>
      <c r="Q58" s="51">
        <f>Q57+S57</f>
        <v>0.67</v>
      </c>
      <c r="R58" s="48" t="str">
        <f>R2</f>
        <v>Jared</v>
      </c>
      <c r="S58" s="44">
        <v>0.33</v>
      </c>
    </row>
    <row r="59" spans="1:20">
      <c r="A59" s="22"/>
      <c r="L59" s="6">
        <f t="shared" si="4"/>
        <v>1079043576</v>
      </c>
      <c r="M59" s="20">
        <f t="shared" si="1"/>
        <v>0.25123441033065319</v>
      </c>
    </row>
    <row r="60" spans="1:20" ht="13">
      <c r="A60" s="22"/>
      <c r="L60" s="6">
        <f t="shared" si="4"/>
        <v>2451784756</v>
      </c>
      <c r="M60" s="20">
        <f t="shared" si="1"/>
        <v>0.5708506228402257</v>
      </c>
      <c r="Q60" s="46" t="s">
        <v>88</v>
      </c>
    </row>
    <row r="61" spans="1:20" ht="14.5">
      <c r="A61" s="22"/>
      <c r="L61" s="6">
        <f t="shared" si="4"/>
        <v>909539648</v>
      </c>
      <c r="M61" s="20">
        <f t="shared" si="1"/>
        <v>0.21176870167255402</v>
      </c>
      <c r="Q61" s="51">
        <v>0</v>
      </c>
      <c r="R61" s="49" t="str">
        <f>P10</f>
        <v>86</v>
      </c>
      <c r="S61" s="44">
        <v>0.5</v>
      </c>
    </row>
    <row r="62" spans="1:20" ht="14.5">
      <c r="A62" s="22"/>
      <c r="L62" s="6">
        <f t="shared" si="4"/>
        <v>1889904349</v>
      </c>
      <c r="M62" s="20">
        <f t="shared" si="1"/>
        <v>0.44002764602191746</v>
      </c>
      <c r="Q62" s="51">
        <f>Q61+S61</f>
        <v>0.5</v>
      </c>
      <c r="R62" s="48" t="str">
        <f>Q10</f>
        <v>87b</v>
      </c>
      <c r="S62" s="44">
        <v>0.5</v>
      </c>
    </row>
    <row r="63" spans="1:20">
      <c r="A63" s="22"/>
      <c r="L63" s="6">
        <f t="shared" si="4"/>
        <v>2758670548</v>
      </c>
      <c r="M63" s="20">
        <f t="shared" si="1"/>
        <v>0.64230303931981325</v>
      </c>
    </row>
    <row r="64" spans="1:20" ht="13">
      <c r="A64" s="22"/>
      <c r="L64" s="6">
        <f t="shared" si="4"/>
        <v>2434188640</v>
      </c>
      <c r="M64" s="20">
        <f t="shared" si="1"/>
        <v>0.56675370782613754</v>
      </c>
      <c r="Q64" s="46" t="s">
        <v>89</v>
      </c>
    </row>
    <row r="65" spans="1:24" ht="14.5">
      <c r="A65" s="22"/>
      <c r="L65" s="6">
        <f t="shared" si="4"/>
        <v>1740383356</v>
      </c>
      <c r="M65" s="20">
        <f t="shared" si="1"/>
        <v>0.40521457698196173</v>
      </c>
      <c r="Q65" s="51">
        <v>0</v>
      </c>
      <c r="R65" s="48" t="str">
        <f>P8</f>
        <v>Sprig 1</v>
      </c>
      <c r="S65" s="43">
        <v>0.25</v>
      </c>
    </row>
    <row r="66" spans="1:24" ht="14.5">
      <c r="A66" s="22"/>
      <c r="L66" s="6">
        <f t="shared" ref="L66:L129" si="5">MOD($I$13*L65+$J$13,2^32)</f>
        <v>1766114536</v>
      </c>
      <c r="M66" s="20">
        <f t="shared" si="1"/>
        <v>0.4112055841833353</v>
      </c>
      <c r="Q66" s="51">
        <f>Q65+S65</f>
        <v>0.25</v>
      </c>
      <c r="R66" s="48" t="str">
        <f>Q8</f>
        <v>Sprig 2</v>
      </c>
      <c r="S66" s="44">
        <v>0.3</v>
      </c>
      <c r="T66"/>
    </row>
    <row r="67" spans="1:24" ht="14.5">
      <c r="A67" s="22"/>
      <c r="L67" s="6">
        <f t="shared" si="5"/>
        <v>2889172580</v>
      </c>
      <c r="M67" s="20">
        <f t="shared" si="1"/>
        <v>0.67268791142851114</v>
      </c>
      <c r="Q67" s="51">
        <f t="shared" ref="Q67:Q68" si="6">Q66+S66</f>
        <v>0.55000000000000004</v>
      </c>
      <c r="R67" s="48" t="str">
        <f>R8</f>
        <v>Sprig 3</v>
      </c>
      <c r="S67" s="43">
        <v>0.25</v>
      </c>
      <c r="T67"/>
    </row>
    <row r="68" spans="1:24" ht="14.5">
      <c r="A68" s="22"/>
      <c r="L68" s="6">
        <f t="shared" si="5"/>
        <v>1518110128</v>
      </c>
      <c r="M68" s="20">
        <f t="shared" si="1"/>
        <v>0.35346255823969841</v>
      </c>
      <c r="Q68" s="51">
        <f t="shared" si="6"/>
        <v>0.8</v>
      </c>
      <c r="R68" s="51" t="str">
        <f>S8</f>
        <v>Sprig 4</v>
      </c>
      <c r="S68" s="44">
        <v>0.2</v>
      </c>
      <c r="T68"/>
    </row>
    <row r="69" spans="1:24" ht="14.5">
      <c r="A69" s="22"/>
      <c r="L69" s="6">
        <f t="shared" si="5"/>
        <v>4203706508</v>
      </c>
      <c r="M69" s="20">
        <f t="shared" ref="M69:M132" si="7">L69/2^32</f>
        <v>0.97875169198960066</v>
      </c>
      <c r="Q69"/>
      <c r="R69"/>
      <c r="S69"/>
      <c r="T69"/>
      <c r="U69"/>
      <c r="V69"/>
    </row>
    <row r="70" spans="1:24" ht="14.5">
      <c r="A70" s="22"/>
      <c r="L70" s="6">
        <f t="shared" si="5"/>
        <v>4234107320</v>
      </c>
      <c r="M70" s="20">
        <f t="shared" si="7"/>
        <v>0.98582993261516094</v>
      </c>
      <c r="S70"/>
      <c r="T70"/>
    </row>
    <row r="71" spans="1:24" ht="14.5">
      <c r="A71" s="22"/>
      <c r="L71" s="6">
        <f t="shared" si="5"/>
        <v>3270894836</v>
      </c>
      <c r="M71" s="20">
        <f t="shared" si="7"/>
        <v>0.76156454998999834</v>
      </c>
      <c r="P71" s="1" t="s">
        <v>80</v>
      </c>
      <c r="Q71"/>
      <c r="R71"/>
    </row>
    <row r="72" spans="1:24" ht="14.5">
      <c r="A72" s="22"/>
      <c r="L72" s="6">
        <f t="shared" si="5"/>
        <v>1540383488</v>
      </c>
      <c r="M72" s="20">
        <f t="shared" si="7"/>
        <v>0.35864847898483276</v>
      </c>
      <c r="P72" s="48">
        <v>0</v>
      </c>
      <c r="Q72" s="48" t="s">
        <v>33</v>
      </c>
      <c r="R72" s="42">
        <v>0.5</v>
      </c>
    </row>
    <row r="73" spans="1:24" ht="14.5">
      <c r="A73" s="22"/>
      <c r="L73" s="6">
        <f t="shared" si="5"/>
        <v>570115484</v>
      </c>
      <c r="M73" s="20">
        <f t="shared" si="7"/>
        <v>0.13274035509675741</v>
      </c>
      <c r="P73" s="48">
        <v>0.5</v>
      </c>
      <c r="Q73" s="48" t="s">
        <v>34</v>
      </c>
      <c r="R73" s="42">
        <v>0.5</v>
      </c>
      <c r="W73"/>
    </row>
    <row r="74" spans="1:24" ht="14.5">
      <c r="A74" s="22"/>
      <c r="L74" s="6">
        <f t="shared" si="5"/>
        <v>4022670217</v>
      </c>
      <c r="M74" s="20">
        <f t="shared" si="7"/>
        <v>0.93660089583136141</v>
      </c>
      <c r="W74"/>
    </row>
    <row r="75" spans="1:24" ht="14.5">
      <c r="A75" s="22"/>
      <c r="L75" s="6">
        <f t="shared" si="5"/>
        <v>976230800</v>
      </c>
      <c r="M75" s="20">
        <f t="shared" si="7"/>
        <v>0.22729644551873207</v>
      </c>
      <c r="Q75" s="46" t="s">
        <v>93</v>
      </c>
      <c r="W75"/>
    </row>
    <row r="76" spans="1:24" ht="14.5">
      <c r="A76" s="22"/>
      <c r="L76" s="6">
        <f t="shared" si="5"/>
        <v>2858113773</v>
      </c>
      <c r="M76" s="20">
        <f t="shared" si="7"/>
        <v>0.66545646940357983</v>
      </c>
      <c r="Q76" s="51">
        <v>0</v>
      </c>
      <c r="R76" s="51" t="str">
        <f>P4</f>
        <v>B600</v>
      </c>
      <c r="S76" s="43">
        <v>0.33</v>
      </c>
      <c r="W76"/>
    </row>
    <row r="77" spans="1:24" ht="14.5">
      <c r="A77" s="22"/>
      <c r="L77" s="6">
        <f t="shared" si="5"/>
        <v>1592225188</v>
      </c>
      <c r="M77" s="20">
        <f t="shared" si="7"/>
        <v>0.37071881536394358</v>
      </c>
      <c r="Q77" s="51">
        <f>Q76+S76</f>
        <v>0.33</v>
      </c>
      <c r="R77" s="51" t="str">
        <f>Q4</f>
        <v>B1200</v>
      </c>
      <c r="S77" s="43">
        <v>0.33</v>
      </c>
      <c r="X77"/>
    </row>
    <row r="78" spans="1:24" ht="14.5">
      <c r="A78" s="22"/>
      <c r="L78" s="6">
        <f t="shared" si="5"/>
        <v>3691561968</v>
      </c>
      <c r="M78" s="20">
        <f t="shared" si="7"/>
        <v>0.85950874909758568</v>
      </c>
      <c r="Q78" s="51">
        <f>Q77+S77</f>
        <v>0.66</v>
      </c>
      <c r="R78" s="51" t="str">
        <f>R4</f>
        <v>B1700</v>
      </c>
      <c r="S78" s="43">
        <v>0.34</v>
      </c>
      <c r="T78"/>
      <c r="X78"/>
    </row>
    <row r="79" spans="1:24" ht="14.5">
      <c r="A79" s="22"/>
      <c r="L79" s="6">
        <f t="shared" si="5"/>
        <v>2557600204</v>
      </c>
      <c r="M79" s="20">
        <f t="shared" si="7"/>
        <v>0.59548770170658827</v>
      </c>
      <c r="P79"/>
      <c r="Q79"/>
      <c r="R79"/>
      <c r="S79"/>
      <c r="T79"/>
      <c r="X79"/>
    </row>
    <row r="80" spans="1:24" ht="14.5">
      <c r="A80" s="22"/>
      <c r="L80" s="6">
        <f t="shared" si="5"/>
        <v>1275654648</v>
      </c>
      <c r="M80" s="20">
        <f t="shared" si="7"/>
        <v>0.2970114927738905</v>
      </c>
      <c r="Q80" s="1" t="s">
        <v>94</v>
      </c>
      <c r="R80"/>
      <c r="S80"/>
      <c r="T80"/>
      <c r="X80"/>
    </row>
    <row r="81" spans="1:20" ht="14.5">
      <c r="A81" s="22"/>
      <c r="L81" s="6">
        <f t="shared" si="5"/>
        <v>1056432180</v>
      </c>
      <c r="M81" s="20">
        <f t="shared" si="7"/>
        <v>0.24596978444606066</v>
      </c>
      <c r="Q81" s="48">
        <v>0</v>
      </c>
      <c r="R81" s="48" t="str">
        <f>P6</f>
        <v>plum</v>
      </c>
      <c r="S81" s="44">
        <v>0.25</v>
      </c>
      <c r="T81"/>
    </row>
    <row r="82" spans="1:20" ht="14.5">
      <c r="A82" s="22"/>
      <c r="L82" s="6">
        <f t="shared" si="5"/>
        <v>3008259393</v>
      </c>
      <c r="M82" s="20">
        <f t="shared" si="7"/>
        <v>0.70041497074998915</v>
      </c>
      <c r="P82"/>
      <c r="Q82" s="48">
        <f>Q81+S81</f>
        <v>0.25</v>
      </c>
      <c r="R82" s="48" t="str">
        <f>Q6</f>
        <v>sky</v>
      </c>
      <c r="S82" s="43">
        <v>0.25</v>
      </c>
      <c r="T82"/>
    </row>
    <row r="83" spans="1:20" ht="14.5">
      <c r="A83" s="22"/>
      <c r="L83" s="6">
        <f t="shared" si="5"/>
        <v>3375912936</v>
      </c>
      <c r="M83" s="20">
        <f t="shared" si="7"/>
        <v>0.78601598180830479</v>
      </c>
      <c r="Q83" s="48">
        <f t="shared" ref="Q83:Q84" si="8">Q82+S82</f>
        <v>0.5</v>
      </c>
      <c r="R83" s="48" t="str">
        <f>R6</f>
        <v>fire</v>
      </c>
      <c r="S83" s="44">
        <v>0.25</v>
      </c>
    </row>
    <row r="84" spans="1:20" ht="14.5">
      <c r="A84" s="22"/>
      <c r="L84" s="6">
        <f t="shared" si="5"/>
        <v>2944580964</v>
      </c>
      <c r="M84" s="20">
        <f t="shared" si="7"/>
        <v>0.68558868113905191</v>
      </c>
      <c r="Q84" s="48">
        <f t="shared" si="8"/>
        <v>0.75</v>
      </c>
      <c r="R84" s="48" t="str">
        <f>S6</f>
        <v>lime</v>
      </c>
      <c r="S84" s="44">
        <v>0.25</v>
      </c>
    </row>
    <row r="85" spans="1:20">
      <c r="A85" s="22"/>
      <c r="L85" s="6">
        <f t="shared" si="5"/>
        <v>1401852080</v>
      </c>
      <c r="M85" s="20">
        <f t="shared" si="7"/>
        <v>0.32639412209391594</v>
      </c>
    </row>
    <row r="86" spans="1:20">
      <c r="A86" s="22"/>
      <c r="L86" s="6">
        <f t="shared" si="5"/>
        <v>3611363212</v>
      </c>
      <c r="M86" s="20">
        <f t="shared" si="7"/>
        <v>0.84083602111786604</v>
      </c>
    </row>
    <row r="87" spans="1:20" ht="18.5">
      <c r="A87" s="22"/>
      <c r="L87" s="6">
        <f t="shared" si="5"/>
        <v>2893978808</v>
      </c>
      <c r="M87" s="20">
        <f t="shared" si="7"/>
        <v>0.67380694858729839</v>
      </c>
      <c r="P87" s="54" t="s">
        <v>40</v>
      </c>
      <c r="Q87" s="54" t="s">
        <v>41</v>
      </c>
      <c r="R87"/>
      <c r="T87"/>
    </row>
    <row r="88" spans="1:20" ht="18.5">
      <c r="A88" s="22"/>
      <c r="L88" s="6">
        <f t="shared" si="5"/>
        <v>199969780</v>
      </c>
      <c r="M88" s="20">
        <f t="shared" si="7"/>
        <v>4.6559092588722706E-2</v>
      </c>
      <c r="P88" s="54" t="str">
        <f>VLOOKUP(Summary!M19,P51:Q53,2)</f>
        <v>material</v>
      </c>
      <c r="Q88" s="54" t="str">
        <f>VLOOKUP(Summary!M20,P72:Q73,2)</f>
        <v>product</v>
      </c>
      <c r="R88" t="s">
        <v>85</v>
      </c>
      <c r="T88"/>
    </row>
    <row r="89" spans="1:20" ht="18.5">
      <c r="A89" s="22"/>
      <c r="L89" s="6">
        <f t="shared" si="5"/>
        <v>2870582785</v>
      </c>
      <c r="M89" s="20">
        <f t="shared" si="7"/>
        <v>0.66835963749326766</v>
      </c>
      <c r="P89" s="54" t="str">
        <f>VLOOKUP(Summary!M22,IF(P88=Q51,Q56:R58,IF(P88=Q52,Q61:R62,Q65:R68)),2)</f>
        <v>86</v>
      </c>
      <c r="Q89" s="54" t="str">
        <f>VLOOKUP(Summary!M21,IF(Q88=Q72,Q76:R78,Q81:R84),2)</f>
        <v>B1700</v>
      </c>
      <c r="R89"/>
      <c r="T89"/>
    </row>
    <row r="90" spans="1:20" ht="14.5">
      <c r="A90" s="22"/>
      <c r="L90" s="6">
        <f t="shared" si="5"/>
        <v>887749032</v>
      </c>
      <c r="M90" s="20">
        <f t="shared" si="7"/>
        <v>0.20669517852365971</v>
      </c>
      <c r="T90"/>
    </row>
    <row r="91" spans="1:20">
      <c r="A91" s="22"/>
      <c r="L91" s="6">
        <f t="shared" si="5"/>
        <v>4247041061</v>
      </c>
      <c r="M91" s="20">
        <f t="shared" si="7"/>
        <v>0.98884130385704339</v>
      </c>
    </row>
    <row r="92" spans="1:20">
      <c r="A92" s="22"/>
      <c r="L92" s="6">
        <f t="shared" si="5"/>
        <v>838700412</v>
      </c>
      <c r="M92" s="20">
        <f t="shared" si="7"/>
        <v>0.19527515675872564</v>
      </c>
    </row>
    <row r="93" spans="1:20">
      <c r="A93" s="22"/>
      <c r="L93" s="6">
        <f t="shared" si="5"/>
        <v>81009129</v>
      </c>
      <c r="M93" s="20">
        <f t="shared" si="7"/>
        <v>1.8861407646909356E-2</v>
      </c>
    </row>
    <row r="94" spans="1:20">
      <c r="A94" s="22"/>
      <c r="L94" s="6">
        <f t="shared" si="5"/>
        <v>353717362</v>
      </c>
      <c r="M94" s="20">
        <f t="shared" si="7"/>
        <v>8.2356241066008806E-2</v>
      </c>
    </row>
    <row r="95" spans="1:20" ht="14.5">
      <c r="A95" s="22"/>
      <c r="L95" s="6">
        <f t="shared" si="5"/>
        <v>320256615</v>
      </c>
      <c r="M95" s="20">
        <f t="shared" si="7"/>
        <v>7.4565553804859519E-2</v>
      </c>
      <c r="P95"/>
      <c r="Q95"/>
      <c r="R95"/>
      <c r="S95"/>
      <c r="T95"/>
    </row>
    <row r="96" spans="1:20" ht="14.5">
      <c r="A96" s="22"/>
      <c r="L96" s="6">
        <f t="shared" si="5"/>
        <v>2289207512</v>
      </c>
      <c r="M96" s="20">
        <f t="shared" si="7"/>
        <v>0.53299765847623348</v>
      </c>
      <c r="S96"/>
      <c r="T96"/>
    </row>
    <row r="97" spans="1:20" ht="14.5">
      <c r="A97" s="22"/>
      <c r="L97" s="6">
        <f t="shared" si="5"/>
        <v>3508595092</v>
      </c>
      <c r="M97" s="20">
        <f t="shared" si="7"/>
        <v>0.81690845359116793</v>
      </c>
      <c r="S97"/>
      <c r="T97"/>
    </row>
    <row r="98" spans="1:20" ht="14.5">
      <c r="A98" s="22"/>
      <c r="L98" s="6">
        <f t="shared" si="5"/>
        <v>3383017248</v>
      </c>
      <c r="M98" s="20">
        <f t="shared" si="7"/>
        <v>0.7876700833439827</v>
      </c>
      <c r="S98"/>
      <c r="T98"/>
    </row>
    <row r="99" spans="1:20" ht="14.5">
      <c r="A99" s="22"/>
      <c r="L99" s="6">
        <f t="shared" si="5"/>
        <v>2395378492</v>
      </c>
      <c r="M99" s="20">
        <f t="shared" si="7"/>
        <v>0.5577175160869956</v>
      </c>
      <c r="P99"/>
      <c r="Q99"/>
      <c r="R99"/>
      <c r="S99"/>
      <c r="T99"/>
    </row>
    <row r="100" spans="1:20" ht="14.5">
      <c r="A100" s="22"/>
      <c r="L100" s="6">
        <f t="shared" si="5"/>
        <v>3059360936</v>
      </c>
      <c r="M100" s="20">
        <f t="shared" si="7"/>
        <v>0.71231297589838505</v>
      </c>
      <c r="R100"/>
      <c r="S100"/>
      <c r="T100"/>
    </row>
    <row r="101" spans="1:20" ht="14.5">
      <c r="A101" s="22"/>
      <c r="L101" s="6">
        <f t="shared" si="5"/>
        <v>859693860</v>
      </c>
      <c r="M101" s="20">
        <f t="shared" si="7"/>
        <v>0.20016307476907969</v>
      </c>
      <c r="R101"/>
      <c r="S101"/>
      <c r="T101"/>
    </row>
    <row r="102" spans="1:20" ht="14.5">
      <c r="A102" s="22"/>
      <c r="L102" s="6">
        <f t="shared" si="5"/>
        <v>268450673</v>
      </c>
      <c r="M102" s="20">
        <f t="shared" si="7"/>
        <v>6.2503542983904481E-2</v>
      </c>
      <c r="R102"/>
      <c r="S102"/>
      <c r="T102"/>
    </row>
    <row r="103" spans="1:20" ht="14.5">
      <c r="A103" s="22"/>
      <c r="L103" s="6">
        <f t="shared" si="5"/>
        <v>2088773722</v>
      </c>
      <c r="M103" s="20">
        <f t="shared" si="7"/>
        <v>0.48633053014054894</v>
      </c>
      <c r="R103"/>
      <c r="S103"/>
      <c r="T103"/>
    </row>
    <row r="104" spans="1:20" ht="14.5">
      <c r="L104" s="6">
        <f t="shared" si="5"/>
        <v>4179029296</v>
      </c>
      <c r="M104" s="20">
        <f t="shared" si="7"/>
        <v>0.97300608083605766</v>
      </c>
      <c r="P104"/>
      <c r="Q104"/>
      <c r="R104"/>
      <c r="S104"/>
      <c r="T104"/>
    </row>
    <row r="105" spans="1:20">
      <c r="L105" s="6">
        <f t="shared" si="5"/>
        <v>2350135820</v>
      </c>
      <c r="M105" s="20">
        <f t="shared" si="7"/>
        <v>0.5471836356446147</v>
      </c>
    </row>
    <row r="106" spans="1:20">
      <c r="L106" s="6">
        <f t="shared" si="5"/>
        <v>996977976</v>
      </c>
      <c r="M106" s="20">
        <f t="shared" si="7"/>
        <v>0.23212702386081219</v>
      </c>
    </row>
    <row r="107" spans="1:20">
      <c r="L107" s="6">
        <f t="shared" si="5"/>
        <v>3475808885</v>
      </c>
      <c r="M107" s="20">
        <f t="shared" si="7"/>
        <v>0.80927481991238892</v>
      </c>
    </row>
    <row r="108" spans="1:20">
      <c r="L108" s="6">
        <f t="shared" si="5"/>
        <v>2979215244</v>
      </c>
      <c r="M108" s="20">
        <f t="shared" si="7"/>
        <v>0.69365260284394026</v>
      </c>
    </row>
    <row r="109" spans="1:20">
      <c r="L109" s="6">
        <f t="shared" si="5"/>
        <v>2929396920</v>
      </c>
      <c r="M109" s="20">
        <f t="shared" si="7"/>
        <v>0.68205337040126324</v>
      </c>
    </row>
    <row r="110" spans="1:20">
      <c r="L110" s="6">
        <f t="shared" si="5"/>
        <v>3532454900</v>
      </c>
      <c r="M110" s="20">
        <f t="shared" si="7"/>
        <v>0.82246374804526567</v>
      </c>
    </row>
    <row r="111" spans="1:20">
      <c r="L111" s="6">
        <f t="shared" si="5"/>
        <v>1656720896</v>
      </c>
      <c r="M111" s="20">
        <f t="shared" si="7"/>
        <v>0.38573539257049561</v>
      </c>
    </row>
    <row r="112" spans="1:20">
      <c r="L112" s="6">
        <f t="shared" si="5"/>
        <v>3934745756</v>
      </c>
      <c r="M112" s="20">
        <f t="shared" si="7"/>
        <v>0.91612938698381186</v>
      </c>
    </row>
    <row r="113" spans="12:13">
      <c r="L113" s="6">
        <f t="shared" si="5"/>
        <v>2367583880</v>
      </c>
      <c r="M113" s="20">
        <f t="shared" si="7"/>
        <v>0.55124607868492603</v>
      </c>
    </row>
    <row r="114" spans="12:13">
      <c r="L114" s="6">
        <f t="shared" si="5"/>
        <v>2268687236</v>
      </c>
      <c r="M114" s="20">
        <f t="shared" si="7"/>
        <v>0.52821990940719843</v>
      </c>
    </row>
    <row r="115" spans="12:13">
      <c r="L115" s="6">
        <f t="shared" si="5"/>
        <v>3536980048</v>
      </c>
      <c r="M115" s="20">
        <f t="shared" si="7"/>
        <v>0.8235173411667347</v>
      </c>
    </row>
    <row r="116" spans="12:13">
      <c r="L116" s="6">
        <f t="shared" si="5"/>
        <v>1503804076</v>
      </c>
      <c r="M116" s="20">
        <f t="shared" si="7"/>
        <v>0.35013167094439268</v>
      </c>
    </row>
    <row r="117" spans="12:13">
      <c r="L117" s="6">
        <f t="shared" si="5"/>
        <v>1634981208</v>
      </c>
      <c r="M117" s="20">
        <f t="shared" si="7"/>
        <v>0.3806737270206213</v>
      </c>
    </row>
    <row r="118" spans="12:13">
      <c r="L118" s="6">
        <f t="shared" si="5"/>
        <v>3033025556</v>
      </c>
      <c r="M118" s="20">
        <f t="shared" si="7"/>
        <v>0.7061812924221158</v>
      </c>
    </row>
    <row r="119" spans="12:13">
      <c r="L119" s="6">
        <f t="shared" si="5"/>
        <v>2403942304</v>
      </c>
      <c r="M119" s="20">
        <f t="shared" si="7"/>
        <v>0.55971143394708633</v>
      </c>
    </row>
    <row r="120" spans="12:13">
      <c r="L120" s="6">
        <f t="shared" si="5"/>
        <v>2793118140</v>
      </c>
      <c r="M120" s="20">
        <f t="shared" si="7"/>
        <v>0.65032349433749914</v>
      </c>
    </row>
    <row r="121" spans="12:13">
      <c r="L121" s="6">
        <f t="shared" si="5"/>
        <v>564394280</v>
      </c>
      <c r="M121" s="20">
        <f t="shared" si="7"/>
        <v>0.13140828348696232</v>
      </c>
    </row>
    <row r="122" spans="12:13">
      <c r="L122" s="6">
        <f t="shared" si="5"/>
        <v>1153183141</v>
      </c>
      <c r="M122" s="20">
        <f t="shared" si="7"/>
        <v>0.2684963729698211</v>
      </c>
    </row>
    <row r="123" spans="12:13">
      <c r="L123" s="6">
        <f t="shared" si="5"/>
        <v>873871612</v>
      </c>
      <c r="M123" s="20">
        <f t="shared" si="7"/>
        <v>0.20346408989280462</v>
      </c>
    </row>
    <row r="124" spans="12:13">
      <c r="L124" s="6">
        <f t="shared" si="5"/>
        <v>2782285673</v>
      </c>
      <c r="M124" s="20">
        <f t="shared" si="7"/>
        <v>0.64780136407352984</v>
      </c>
    </row>
    <row r="125" spans="12:13">
      <c r="L125" s="6">
        <f t="shared" si="5"/>
        <v>1552253936</v>
      </c>
      <c r="M125" s="20">
        <f t="shared" si="7"/>
        <v>0.36141228303313255</v>
      </c>
    </row>
    <row r="126" spans="12:13">
      <c r="L126" s="6">
        <f t="shared" si="5"/>
        <v>2458362316</v>
      </c>
      <c r="M126" s="20">
        <f t="shared" si="7"/>
        <v>0.57238208036869764</v>
      </c>
    </row>
    <row r="127" spans="12:13">
      <c r="L127" s="6">
        <f t="shared" si="5"/>
        <v>2682499576</v>
      </c>
      <c r="M127" s="20">
        <f t="shared" si="7"/>
        <v>0.62456810288131237</v>
      </c>
    </row>
    <row r="128" spans="12:13">
      <c r="L128" s="6">
        <f t="shared" si="5"/>
        <v>1792254004</v>
      </c>
      <c r="M128" s="20">
        <f t="shared" si="7"/>
        <v>0.41729165334254503</v>
      </c>
    </row>
    <row r="129" spans="12:13">
      <c r="L129" s="6">
        <f t="shared" si="5"/>
        <v>2352424256</v>
      </c>
      <c r="M129" s="20">
        <f t="shared" si="7"/>
        <v>0.54771645367145538</v>
      </c>
    </row>
    <row r="130" spans="12:13">
      <c r="L130" s="6">
        <f t="shared" ref="L130:L193" si="9">MOD($I$13*L129+$J$13,2^32)</f>
        <v>2622120668</v>
      </c>
      <c r="M130" s="20">
        <f t="shared" si="7"/>
        <v>0.61051004286855459</v>
      </c>
    </row>
    <row r="131" spans="12:13">
      <c r="L131" s="6">
        <f t="shared" si="9"/>
        <v>2553794504</v>
      </c>
      <c r="M131" s="20">
        <f t="shared" si="7"/>
        <v>0.59460161812603474</v>
      </c>
    </row>
    <row r="132" spans="12:13">
      <c r="L132" s="6">
        <f t="shared" si="9"/>
        <v>1247622084</v>
      </c>
      <c r="M132" s="20">
        <f t="shared" si="7"/>
        <v>0.2904846528545022</v>
      </c>
    </row>
    <row r="133" spans="12:13">
      <c r="L133" s="6">
        <f t="shared" si="9"/>
        <v>1610118032</v>
      </c>
      <c r="M133" s="20">
        <f t="shared" ref="M133:M196" si="10">L133/2^32</f>
        <v>0.37488481774926186</v>
      </c>
    </row>
    <row r="134" spans="12:13">
      <c r="L134" s="6">
        <f t="shared" si="9"/>
        <v>3811175660</v>
      </c>
      <c r="M134" s="20">
        <f t="shared" si="10"/>
        <v>0.88735848199576139</v>
      </c>
    </row>
    <row r="135" spans="12:13">
      <c r="L135" s="6">
        <f t="shared" si="9"/>
        <v>3156157080</v>
      </c>
      <c r="M135" s="20">
        <f t="shared" si="10"/>
        <v>0.7348500844091177</v>
      </c>
    </row>
    <row r="136" spans="12:13">
      <c r="L136" s="6">
        <f t="shared" si="9"/>
        <v>3218700372</v>
      </c>
      <c r="M136" s="20">
        <f t="shared" si="10"/>
        <v>0.74941207934170961</v>
      </c>
    </row>
    <row r="137" spans="12:13">
      <c r="L137" s="6">
        <f t="shared" si="9"/>
        <v>926007008</v>
      </c>
      <c r="M137" s="20">
        <f t="shared" si="10"/>
        <v>0.215602807700634</v>
      </c>
    </row>
    <row r="138" spans="12:13">
      <c r="L138" s="6">
        <f t="shared" si="9"/>
        <v>2952941565</v>
      </c>
      <c r="M138" s="20">
        <f t="shared" si="10"/>
        <v>0.6875352852512151</v>
      </c>
    </row>
    <row r="139" spans="12:13">
      <c r="L139" s="6">
        <f t="shared" si="9"/>
        <v>1184247668</v>
      </c>
      <c r="M139" s="20">
        <f t="shared" si="10"/>
        <v>0.27572914678603411</v>
      </c>
    </row>
    <row r="140" spans="12:13">
      <c r="L140" s="6">
        <f t="shared" si="9"/>
        <v>1428204416</v>
      </c>
      <c r="M140" s="20">
        <f t="shared" si="10"/>
        <v>0.33252975344657898</v>
      </c>
    </row>
    <row r="141" spans="12:13">
      <c r="L141" s="6">
        <f t="shared" si="9"/>
        <v>2245096476</v>
      </c>
      <c r="M141" s="20">
        <f t="shared" si="10"/>
        <v>0.52272725757211447</v>
      </c>
    </row>
    <row r="142" spans="12:13">
      <c r="L142" s="6">
        <f t="shared" si="9"/>
        <v>2181427208</v>
      </c>
      <c r="M142" s="20">
        <f t="shared" si="10"/>
        <v>0.50790310092270374</v>
      </c>
    </row>
    <row r="143" spans="12:13">
      <c r="L143" s="6">
        <f t="shared" si="9"/>
        <v>3865188100</v>
      </c>
      <c r="M143" s="20">
        <f t="shared" si="10"/>
        <v>0.89993423316627741</v>
      </c>
    </row>
    <row r="144" spans="12:13">
      <c r="L144" s="6">
        <f t="shared" si="9"/>
        <v>2107915728</v>
      </c>
      <c r="M144" s="20">
        <f t="shared" si="10"/>
        <v>0.49078737571835518</v>
      </c>
    </row>
    <row r="145" spans="12:13">
      <c r="L145" s="6">
        <f t="shared" si="9"/>
        <v>815952428</v>
      </c>
      <c r="M145" s="20">
        <f t="shared" si="10"/>
        <v>0.18997872900217772</v>
      </c>
    </row>
    <row r="146" spans="12:13">
      <c r="L146" s="6">
        <f t="shared" si="9"/>
        <v>4231276249</v>
      </c>
      <c r="M146" s="20">
        <f t="shared" si="10"/>
        <v>0.98517077253200114</v>
      </c>
    </row>
    <row r="147" spans="12:13">
      <c r="L147" s="6">
        <f t="shared" si="9"/>
        <v>4180386976</v>
      </c>
      <c r="M147" s="20">
        <f t="shared" si="10"/>
        <v>0.97332219034433365</v>
      </c>
    </row>
    <row r="148" spans="12:13">
      <c r="L148" s="6">
        <f t="shared" si="9"/>
        <v>862173884</v>
      </c>
      <c r="M148" s="20">
        <f t="shared" si="10"/>
        <v>0.20074050035327673</v>
      </c>
    </row>
    <row r="149" spans="12:13">
      <c r="L149" s="6">
        <f t="shared" si="9"/>
        <v>3351422505</v>
      </c>
      <c r="M149" s="20">
        <f t="shared" si="10"/>
        <v>0.7803138589952141</v>
      </c>
    </row>
    <row r="150" spans="12:13">
      <c r="L150" s="6">
        <f t="shared" si="9"/>
        <v>941337520</v>
      </c>
      <c r="M150" s="20">
        <f t="shared" si="10"/>
        <v>0.21917222067713737</v>
      </c>
    </row>
    <row r="151" spans="12:13">
      <c r="L151" s="6">
        <f t="shared" si="9"/>
        <v>2609014413</v>
      </c>
      <c r="M151" s="20">
        <f t="shared" si="10"/>
        <v>0.60745850508101285</v>
      </c>
    </row>
    <row r="152" spans="12:13">
      <c r="L152" s="6">
        <f t="shared" si="9"/>
        <v>4252705988</v>
      </c>
      <c r="M152" s="20">
        <f t="shared" si="10"/>
        <v>0.99016027245670557</v>
      </c>
    </row>
    <row r="153" spans="12:13">
      <c r="L153" s="6">
        <f t="shared" si="9"/>
        <v>853717136</v>
      </c>
      <c r="M153" s="20">
        <f t="shared" si="10"/>
        <v>0.19877151027321815</v>
      </c>
    </row>
    <row r="154" spans="12:13">
      <c r="L154" s="6">
        <f t="shared" si="9"/>
        <v>2033190381</v>
      </c>
      <c r="M154" s="20">
        <f t="shared" si="10"/>
        <v>0.47338902507908642</v>
      </c>
    </row>
    <row r="155" spans="12:13">
      <c r="L155" s="6">
        <f t="shared" si="9"/>
        <v>295378084</v>
      </c>
      <c r="M155" s="20">
        <f t="shared" si="10"/>
        <v>6.877306941896677E-2</v>
      </c>
    </row>
    <row r="156" spans="12:13">
      <c r="L156" s="6">
        <f t="shared" si="9"/>
        <v>3403917041</v>
      </c>
      <c r="M156" s="20">
        <f t="shared" si="10"/>
        <v>0.79253619560040534</v>
      </c>
    </row>
    <row r="157" spans="12:13">
      <c r="L157" s="6">
        <f t="shared" si="9"/>
        <v>428744152</v>
      </c>
      <c r="M157" s="20">
        <f t="shared" si="10"/>
        <v>9.9824776872992516E-2</v>
      </c>
    </row>
    <row r="158" spans="12:13">
      <c r="L158" s="6">
        <f t="shared" si="9"/>
        <v>2598402709</v>
      </c>
      <c r="M158" s="20">
        <f t="shared" si="10"/>
        <v>0.6049877752084285</v>
      </c>
    </row>
    <row r="159" spans="12:13">
      <c r="L159" s="6">
        <f t="shared" si="9"/>
        <v>1768149292</v>
      </c>
      <c r="M159" s="20">
        <f t="shared" si="10"/>
        <v>0.41167933773249388</v>
      </c>
    </row>
    <row r="160" spans="12:13">
      <c r="L160" s="6">
        <f t="shared" si="9"/>
        <v>3073440216</v>
      </c>
      <c r="M160" s="20">
        <f t="shared" si="10"/>
        <v>0.7155910637229681</v>
      </c>
    </row>
    <row r="161" spans="12:13">
      <c r="L161" s="6">
        <f t="shared" si="9"/>
        <v>3853624980</v>
      </c>
      <c r="M161" s="20">
        <f t="shared" si="10"/>
        <v>0.89724198449403048</v>
      </c>
    </row>
    <row r="162" spans="12:13">
      <c r="L162" s="6">
        <f t="shared" si="9"/>
        <v>3986642976</v>
      </c>
      <c r="M162" s="20">
        <f t="shared" si="10"/>
        <v>0.92821265012025833</v>
      </c>
    </row>
    <row r="163" spans="12:13">
      <c r="L163" s="6">
        <f t="shared" si="9"/>
        <v>2007849020</v>
      </c>
      <c r="M163" s="20">
        <f t="shared" si="10"/>
        <v>0.46748877968639135</v>
      </c>
    </row>
    <row r="164" spans="12:13">
      <c r="L164" s="6">
        <f t="shared" si="9"/>
        <v>1851467176</v>
      </c>
      <c r="M164" s="20">
        <f t="shared" si="10"/>
        <v>0.43107829429209232</v>
      </c>
    </row>
    <row r="165" spans="12:13">
      <c r="L165" s="6">
        <f t="shared" si="9"/>
        <v>3221221412</v>
      </c>
      <c r="M165" s="20">
        <f t="shared" si="10"/>
        <v>0.74999905470758677</v>
      </c>
    </row>
    <row r="166" spans="12:13">
      <c r="L166" s="6">
        <f t="shared" si="9"/>
        <v>3691766896</v>
      </c>
      <c r="M166" s="20">
        <f t="shared" si="10"/>
        <v>0.85955646261572838</v>
      </c>
    </row>
    <row r="167" spans="12:13">
      <c r="L167" s="6">
        <f t="shared" si="9"/>
        <v>3994355788</v>
      </c>
      <c r="M167" s="20">
        <f t="shared" si="10"/>
        <v>0.93000842910259962</v>
      </c>
    </row>
    <row r="168" spans="12:13">
      <c r="L168" s="6">
        <f t="shared" si="9"/>
        <v>420111992</v>
      </c>
      <c r="M168" s="20">
        <f t="shared" si="10"/>
        <v>9.7814945504069328E-2</v>
      </c>
    </row>
    <row r="169" spans="12:13">
      <c r="L169" s="6">
        <f t="shared" si="9"/>
        <v>2062109365</v>
      </c>
      <c r="M169" s="20">
        <f t="shared" si="10"/>
        <v>0.48012225073762238</v>
      </c>
    </row>
    <row r="170" spans="12:13">
      <c r="L170" s="6">
        <f t="shared" si="9"/>
        <v>1155334860</v>
      </c>
      <c r="M170" s="20">
        <f t="shared" si="10"/>
        <v>0.26899735908955336</v>
      </c>
    </row>
    <row r="171" spans="12:13">
      <c r="L171" s="6">
        <f t="shared" si="9"/>
        <v>718184184</v>
      </c>
      <c r="M171" s="20">
        <f t="shared" si="10"/>
        <v>0.16721528582274914</v>
      </c>
    </row>
    <row r="172" spans="12:13">
      <c r="L172" s="6">
        <f t="shared" si="9"/>
        <v>626174261</v>
      </c>
      <c r="M172" s="20">
        <f t="shared" si="10"/>
        <v>0.14579255622811615</v>
      </c>
    </row>
    <row r="173" spans="12:13">
      <c r="L173" s="6">
        <f t="shared" si="9"/>
        <v>1300713294</v>
      </c>
      <c r="M173" s="20">
        <f t="shared" si="10"/>
        <v>0.30284591345116496</v>
      </c>
    </row>
    <row r="174" spans="12:13">
      <c r="L174" s="6">
        <f t="shared" si="9"/>
        <v>4161432468</v>
      </c>
      <c r="M174" s="20">
        <f t="shared" si="10"/>
        <v>0.96890900004655123</v>
      </c>
    </row>
    <row r="175" spans="12:13">
      <c r="L175" s="6">
        <f t="shared" si="9"/>
        <v>1516919072</v>
      </c>
      <c r="M175" s="20">
        <f t="shared" si="10"/>
        <v>0.35318524390459061</v>
      </c>
    </row>
    <row r="176" spans="12:13">
      <c r="L176" s="6">
        <f t="shared" si="9"/>
        <v>78734652</v>
      </c>
      <c r="M176" s="20">
        <f t="shared" si="10"/>
        <v>1.8331839703023434E-2</v>
      </c>
    </row>
    <row r="177" spans="12:13">
      <c r="L177" s="6">
        <f t="shared" si="9"/>
        <v>3888172713</v>
      </c>
      <c r="M177" s="20">
        <f t="shared" si="10"/>
        <v>0.90528575540520251</v>
      </c>
    </row>
    <row r="178" spans="12:13">
      <c r="L178" s="6">
        <f t="shared" si="9"/>
        <v>2720414256</v>
      </c>
      <c r="M178" s="20">
        <f t="shared" si="10"/>
        <v>0.63339580222964287</v>
      </c>
    </row>
    <row r="179" spans="12:13">
      <c r="L179" s="6">
        <f t="shared" si="9"/>
        <v>642523916</v>
      </c>
      <c r="M179" s="20">
        <f t="shared" si="10"/>
        <v>0.14959925692528486</v>
      </c>
    </row>
    <row r="180" spans="12:13">
      <c r="L180" s="6">
        <f t="shared" si="9"/>
        <v>788562489</v>
      </c>
      <c r="M180" s="20">
        <f t="shared" si="10"/>
        <v>0.18360151187516749</v>
      </c>
    </row>
    <row r="181" spans="12:13">
      <c r="L181" s="6">
        <f t="shared" si="9"/>
        <v>1590110338</v>
      </c>
      <c r="M181" s="20">
        <f t="shared" si="10"/>
        <v>0.37022641347721219</v>
      </c>
    </row>
    <row r="182" spans="12:13">
      <c r="L182" s="6">
        <f t="shared" si="9"/>
        <v>3181786936</v>
      </c>
      <c r="M182" s="20">
        <f t="shared" si="10"/>
        <v>0.74081750027835369</v>
      </c>
    </row>
    <row r="183" spans="12:13">
      <c r="L183" s="6">
        <f t="shared" si="9"/>
        <v>2427102324</v>
      </c>
      <c r="M183" s="20">
        <f t="shared" si="10"/>
        <v>0.56510379631072283</v>
      </c>
    </row>
    <row r="184" spans="12:13">
      <c r="L184" s="6">
        <f t="shared" si="9"/>
        <v>2581830784</v>
      </c>
      <c r="M184" s="20">
        <f t="shared" si="10"/>
        <v>0.60112932324409485</v>
      </c>
    </row>
    <row r="185" spans="12:13">
      <c r="L185" s="6">
        <f t="shared" si="9"/>
        <v>1729933596</v>
      </c>
      <c r="M185" s="20">
        <f t="shared" si="10"/>
        <v>0.40278155263513327</v>
      </c>
    </row>
    <row r="186" spans="12:13">
      <c r="L186" s="6">
        <f t="shared" si="9"/>
        <v>1744374024</v>
      </c>
      <c r="M186" s="20">
        <f t="shared" si="10"/>
        <v>0.40614372678101063</v>
      </c>
    </row>
    <row r="187" spans="12:13">
      <c r="L187" s="6">
        <f t="shared" si="9"/>
        <v>3680984068</v>
      </c>
      <c r="M187" s="20">
        <f t="shared" si="10"/>
        <v>0.85704588983207941</v>
      </c>
    </row>
    <row r="188" spans="12:13">
      <c r="L188" s="6">
        <f t="shared" si="9"/>
        <v>3820076752</v>
      </c>
      <c r="M188" s="20">
        <f t="shared" si="10"/>
        <v>0.8894309289753437</v>
      </c>
    </row>
    <row r="189" spans="12:13">
      <c r="L189" s="6">
        <f t="shared" si="9"/>
        <v>3934715692</v>
      </c>
      <c r="M189" s="20">
        <f t="shared" si="10"/>
        <v>0.91612238716334105</v>
      </c>
    </row>
    <row r="190" spans="12:13">
      <c r="L190" s="6">
        <f t="shared" si="9"/>
        <v>4152381400</v>
      </c>
      <c r="M190" s="20">
        <f t="shared" si="10"/>
        <v>0.96680163405835629</v>
      </c>
    </row>
    <row r="191" spans="12:13">
      <c r="L191" s="6">
        <f t="shared" si="9"/>
        <v>3951494292</v>
      </c>
      <c r="M191" s="20">
        <f t="shared" si="10"/>
        <v>0.92002895940095186</v>
      </c>
    </row>
    <row r="192" spans="12:13">
      <c r="L192" s="6">
        <f t="shared" si="9"/>
        <v>3068861984</v>
      </c>
      <c r="M192" s="20">
        <f t="shared" si="10"/>
        <v>0.71452511101961136</v>
      </c>
    </row>
    <row r="193" spans="12:13">
      <c r="L193" s="6">
        <f t="shared" si="9"/>
        <v>2105828924</v>
      </c>
      <c r="M193" s="20">
        <f t="shared" si="10"/>
        <v>0.49030150379985571</v>
      </c>
    </row>
    <row r="194" spans="12:13">
      <c r="L194" s="6">
        <f t="shared" ref="L194:L257" si="11">MOD($I$13*L193+$J$13,2^32)</f>
        <v>3106724776</v>
      </c>
      <c r="M194" s="20">
        <f t="shared" si="10"/>
        <v>0.72334072925150394</v>
      </c>
    </row>
    <row r="195" spans="12:13">
      <c r="L195" s="6">
        <f t="shared" si="11"/>
        <v>475278884</v>
      </c>
      <c r="M195" s="20">
        <f t="shared" si="10"/>
        <v>0.11065948847681284</v>
      </c>
    </row>
    <row r="196" spans="12:13">
      <c r="L196" s="6">
        <f t="shared" si="11"/>
        <v>3727231601</v>
      </c>
      <c r="M196" s="20">
        <f t="shared" si="10"/>
        <v>0.86781373270787299</v>
      </c>
    </row>
    <row r="197" spans="12:13">
      <c r="L197" s="6">
        <f t="shared" si="11"/>
        <v>2146282328</v>
      </c>
      <c r="M197" s="20">
        <f t="shared" ref="M197:M260" si="12">L197/2^32</f>
        <v>0.49972029589116573</v>
      </c>
    </row>
    <row r="198" spans="12:13">
      <c r="L198" s="6">
        <f t="shared" si="11"/>
        <v>2403740180</v>
      </c>
      <c r="M198" s="20">
        <f t="shared" si="12"/>
        <v>0.55966437328606844</v>
      </c>
    </row>
    <row r="199" spans="12:13">
      <c r="L199" s="6">
        <f t="shared" si="11"/>
        <v>3349382560</v>
      </c>
      <c r="M199" s="20">
        <f t="shared" si="12"/>
        <v>0.77983889728784561</v>
      </c>
    </row>
    <row r="200" spans="12:13">
      <c r="L200" s="6">
        <f t="shared" si="11"/>
        <v>277817276</v>
      </c>
      <c r="M200" s="20">
        <f t="shared" si="12"/>
        <v>6.4684375189244747E-2</v>
      </c>
    </row>
    <row r="201" spans="12:13">
      <c r="L201" s="6">
        <f t="shared" si="11"/>
        <v>3389533993</v>
      </c>
      <c r="M201" s="20">
        <f t="shared" si="12"/>
        <v>0.78918738127686083</v>
      </c>
    </row>
    <row r="202" spans="12:13">
      <c r="L202" s="6">
        <f t="shared" si="11"/>
        <v>1988141232</v>
      </c>
      <c r="M202" s="20">
        <f t="shared" si="12"/>
        <v>0.46290020272135735</v>
      </c>
    </row>
    <row r="203" spans="12:13">
      <c r="L203" s="6">
        <f t="shared" si="11"/>
        <v>3000752012</v>
      </c>
      <c r="M203" s="20">
        <f t="shared" si="12"/>
        <v>0.69866702239960432</v>
      </c>
    </row>
    <row r="204" spans="12:13">
      <c r="L204" s="6">
        <f t="shared" si="11"/>
        <v>2020289720</v>
      </c>
      <c r="M204" s="20">
        <f t="shared" si="12"/>
        <v>0.47038535587489605</v>
      </c>
    </row>
    <row r="205" spans="12:13">
      <c r="L205" s="6">
        <f t="shared" si="11"/>
        <v>415144948</v>
      </c>
      <c r="M205" s="20">
        <f t="shared" si="12"/>
        <v>9.6658465452492237E-2</v>
      </c>
    </row>
    <row r="206" spans="12:13">
      <c r="L206" s="6">
        <f t="shared" si="11"/>
        <v>1768205825</v>
      </c>
      <c r="M206" s="20">
        <f t="shared" si="12"/>
        <v>0.41169250034727156</v>
      </c>
    </row>
    <row r="207" spans="12:13">
      <c r="L207" s="6">
        <f t="shared" si="11"/>
        <v>3775515048</v>
      </c>
      <c r="M207" s="20">
        <f t="shared" si="12"/>
        <v>0.87905559875071049</v>
      </c>
    </row>
    <row r="208" spans="12:13">
      <c r="L208" s="6">
        <f t="shared" si="11"/>
        <v>1758610468</v>
      </c>
      <c r="M208" s="20">
        <f t="shared" si="12"/>
        <v>0.4094584072008729</v>
      </c>
    </row>
    <row r="209" spans="12:13">
      <c r="L209" s="6">
        <f t="shared" si="11"/>
        <v>3491637360</v>
      </c>
      <c r="M209" s="20">
        <f t="shared" si="12"/>
        <v>0.8129601739346981</v>
      </c>
    </row>
    <row r="210" spans="12:13">
      <c r="L210" s="6">
        <f t="shared" si="11"/>
        <v>4179000396</v>
      </c>
      <c r="M210" s="20">
        <f t="shared" si="12"/>
        <v>0.97299935203045607</v>
      </c>
    </row>
    <row r="211" spans="12:13">
      <c r="L211" s="6">
        <f t="shared" si="11"/>
        <v>992037496</v>
      </c>
      <c r="M211" s="20">
        <f t="shared" si="12"/>
        <v>0.23097672872245312</v>
      </c>
    </row>
    <row r="212" spans="12:13">
      <c r="L212" s="6">
        <f t="shared" si="11"/>
        <v>2168905397</v>
      </c>
      <c r="M212" s="20">
        <f t="shared" si="12"/>
        <v>0.50498763960786164</v>
      </c>
    </row>
    <row r="213" spans="12:13">
      <c r="L213" s="6">
        <f t="shared" si="11"/>
        <v>759269068</v>
      </c>
      <c r="M213" s="20">
        <f t="shared" si="12"/>
        <v>0.17678110580891371</v>
      </c>
    </row>
    <row r="214" spans="12:13">
      <c r="L214" s="6">
        <f t="shared" si="11"/>
        <v>2235388665</v>
      </c>
      <c r="M214" s="20">
        <f t="shared" si="12"/>
        <v>0.52046698168851435</v>
      </c>
    </row>
    <row r="215" spans="12:13">
      <c r="L215" s="6">
        <f t="shared" si="11"/>
        <v>1320518208</v>
      </c>
      <c r="M215" s="20">
        <f t="shared" si="12"/>
        <v>0.30745710432529449</v>
      </c>
    </row>
    <row r="216" spans="12:13">
      <c r="L216" s="6">
        <f t="shared" si="11"/>
        <v>4151712732</v>
      </c>
      <c r="M216" s="20">
        <f t="shared" si="12"/>
        <v>0.96664594765752554</v>
      </c>
    </row>
    <row r="217" spans="12:13">
      <c r="L217" s="6">
        <f t="shared" si="11"/>
        <v>3929879752</v>
      </c>
      <c r="M217" s="20">
        <f t="shared" si="12"/>
        <v>0.91499643214046955</v>
      </c>
    </row>
    <row r="218" spans="12:13">
      <c r="L218" s="6">
        <f t="shared" si="11"/>
        <v>1611420868</v>
      </c>
      <c r="M218" s="20">
        <f t="shared" si="12"/>
        <v>0.37518815789371729</v>
      </c>
    </row>
    <row r="219" spans="12:13">
      <c r="L219" s="6">
        <f t="shared" si="11"/>
        <v>2872189072</v>
      </c>
      <c r="M219" s="20">
        <f t="shared" si="12"/>
        <v>0.6687336303293705</v>
      </c>
    </row>
    <row r="220" spans="12:13">
      <c r="L220" s="6">
        <f t="shared" si="11"/>
        <v>1332262380</v>
      </c>
      <c r="M220" s="20">
        <f t="shared" si="12"/>
        <v>0.31019150745123625</v>
      </c>
    </row>
    <row r="221" spans="12:13">
      <c r="L221" s="6">
        <f t="shared" si="11"/>
        <v>1449940888</v>
      </c>
      <c r="M221" s="20">
        <f t="shared" si="12"/>
        <v>0.33759067021310329</v>
      </c>
    </row>
    <row r="222" spans="12:13">
      <c r="L222" s="6">
        <f t="shared" si="11"/>
        <v>2000562516</v>
      </c>
      <c r="M222" s="20">
        <f t="shared" si="12"/>
        <v>0.46579225827008486</v>
      </c>
    </row>
    <row r="223" spans="12:13">
      <c r="L223" s="6">
        <f t="shared" si="11"/>
        <v>2272508896</v>
      </c>
      <c r="M223" s="20">
        <f t="shared" si="12"/>
        <v>0.52910970896482468</v>
      </c>
    </row>
    <row r="224" spans="12:13">
      <c r="L224" s="6">
        <f t="shared" si="11"/>
        <v>3996985596</v>
      </c>
      <c r="M224" s="20">
        <f t="shared" si="12"/>
        <v>0.93062072899192572</v>
      </c>
    </row>
    <row r="225" spans="12:13">
      <c r="L225" s="6">
        <f t="shared" si="11"/>
        <v>2977988456</v>
      </c>
      <c r="M225" s="20">
        <f t="shared" si="12"/>
        <v>0.69336696900427341</v>
      </c>
    </row>
    <row r="226" spans="12:13">
      <c r="L226" s="6">
        <f t="shared" si="11"/>
        <v>395984612</v>
      </c>
      <c r="M226" s="20">
        <f t="shared" si="12"/>
        <v>9.2197352088987827E-2</v>
      </c>
    </row>
    <row r="227" spans="12:13">
      <c r="L227" s="6">
        <f t="shared" si="11"/>
        <v>2043651121</v>
      </c>
      <c r="M227" s="20">
        <f t="shared" si="12"/>
        <v>0.4758246059063822</v>
      </c>
    </row>
    <row r="228" spans="12:13">
      <c r="L228" s="6">
        <f t="shared" si="11"/>
        <v>2019047960</v>
      </c>
      <c r="M228" s="20">
        <f t="shared" si="12"/>
        <v>0.47009623609483242</v>
      </c>
    </row>
    <row r="229" spans="12:13">
      <c r="L229" s="6">
        <f t="shared" si="11"/>
        <v>1423780308</v>
      </c>
      <c r="M229" s="20">
        <f t="shared" si="12"/>
        <v>0.33149968553334475</v>
      </c>
    </row>
    <row r="230" spans="12:13">
      <c r="L230" s="6">
        <f t="shared" si="11"/>
        <v>1935753824</v>
      </c>
      <c r="M230" s="20">
        <f t="shared" si="12"/>
        <v>0.45070280879735947</v>
      </c>
    </row>
    <row r="231" spans="12:13">
      <c r="L231" s="6">
        <f t="shared" si="11"/>
        <v>2464513404</v>
      </c>
      <c r="M231" s="20">
        <f t="shared" si="12"/>
        <v>0.57381424214690924</v>
      </c>
    </row>
    <row r="232" spans="12:13">
      <c r="L232" s="6">
        <f t="shared" si="11"/>
        <v>4249569768</v>
      </c>
      <c r="M232" s="20">
        <f t="shared" si="12"/>
        <v>0.98943006433546543</v>
      </c>
    </row>
    <row r="233" spans="12:13">
      <c r="L233" s="6">
        <f t="shared" si="11"/>
        <v>3348301668</v>
      </c>
      <c r="M233" s="20">
        <f t="shared" si="12"/>
        <v>0.77958723250776529</v>
      </c>
    </row>
    <row r="234" spans="12:13">
      <c r="L234" s="6">
        <f t="shared" si="11"/>
        <v>3333706416</v>
      </c>
      <c r="M234" s="20">
        <f t="shared" si="12"/>
        <v>0.77618901059031487</v>
      </c>
    </row>
    <row r="235" spans="12:13">
      <c r="L235" s="6">
        <f t="shared" si="11"/>
        <v>2689982860</v>
      </c>
      <c r="M235" s="20">
        <f t="shared" si="12"/>
        <v>0.62631044071167707</v>
      </c>
    </row>
    <row r="236" spans="12:13">
      <c r="L236" s="6">
        <f t="shared" si="11"/>
        <v>3333402296</v>
      </c>
      <c r="M236" s="20">
        <f t="shared" si="12"/>
        <v>0.77611820213496685</v>
      </c>
    </row>
    <row r="237" spans="12:13">
      <c r="L237" s="6">
        <f t="shared" si="11"/>
        <v>2307572</v>
      </c>
      <c r="M237" s="20">
        <f t="shared" si="12"/>
        <v>5.3727347403764725E-4</v>
      </c>
    </row>
    <row r="238" spans="12:13">
      <c r="L238" s="6">
        <f t="shared" si="11"/>
        <v>2959245313</v>
      </c>
      <c r="M238" s="20">
        <f t="shared" si="12"/>
        <v>0.68900299095548689</v>
      </c>
    </row>
    <row r="239" spans="12:13">
      <c r="L239" s="6">
        <f t="shared" si="11"/>
        <v>526873512</v>
      </c>
      <c r="M239" s="20">
        <f t="shared" si="12"/>
        <v>0.1226722989231348</v>
      </c>
    </row>
    <row r="240" spans="12:13">
      <c r="L240" s="6">
        <f t="shared" si="11"/>
        <v>583394853</v>
      </c>
      <c r="M240" s="20">
        <f t="shared" si="12"/>
        <v>0.13583219912834466</v>
      </c>
    </row>
    <row r="241" spans="12:13">
      <c r="L241" s="6">
        <f t="shared" si="11"/>
        <v>3783726974</v>
      </c>
      <c r="M241" s="20">
        <f t="shared" si="12"/>
        <v>0.88096758676692843</v>
      </c>
    </row>
    <row r="242" spans="12:13">
      <c r="L242" s="6">
        <f t="shared" si="11"/>
        <v>2757854724</v>
      </c>
      <c r="M242" s="20">
        <f t="shared" si="12"/>
        <v>0.64211309049278498</v>
      </c>
    </row>
    <row r="243" spans="12:13">
      <c r="L243" s="6">
        <f t="shared" si="11"/>
        <v>3457671376</v>
      </c>
      <c r="M243" s="20">
        <f t="shared" si="12"/>
        <v>0.80505185201764107</v>
      </c>
    </row>
    <row r="244" spans="12:13">
      <c r="L244" s="6">
        <f t="shared" si="11"/>
        <v>3854612780</v>
      </c>
      <c r="M244" s="20">
        <f t="shared" si="12"/>
        <v>0.89747197460383177</v>
      </c>
    </row>
    <row r="245" spans="12:13">
      <c r="L245" s="6">
        <f t="shared" si="11"/>
        <v>3488661976</v>
      </c>
      <c r="M245" s="20">
        <f t="shared" si="12"/>
        <v>0.81226741336286068</v>
      </c>
    </row>
    <row r="246" spans="12:13">
      <c r="L246" s="6">
        <f t="shared" si="11"/>
        <v>4158049940</v>
      </c>
      <c r="M246" s="20">
        <f t="shared" si="12"/>
        <v>0.96812144387513399</v>
      </c>
    </row>
    <row r="247" spans="12:13">
      <c r="L247" s="6">
        <f t="shared" si="11"/>
        <v>4140458016</v>
      </c>
      <c r="M247" s="20">
        <f t="shared" si="12"/>
        <v>0.96402550488710403</v>
      </c>
    </row>
    <row r="248" spans="12:13">
      <c r="L248" s="6">
        <f t="shared" si="11"/>
        <v>1401208892</v>
      </c>
      <c r="M248" s="20">
        <f t="shared" si="12"/>
        <v>0.32624436821788549</v>
      </c>
    </row>
    <row r="249" spans="12:13">
      <c r="L249" s="6">
        <f t="shared" si="11"/>
        <v>2094230952</v>
      </c>
      <c r="M249" s="20">
        <f t="shared" si="12"/>
        <v>0.48760114051401615</v>
      </c>
    </row>
    <row r="250" spans="12:13">
      <c r="L250" s="6">
        <f t="shared" si="11"/>
        <v>1057200164</v>
      </c>
      <c r="M250" s="20">
        <f t="shared" si="12"/>
        <v>0.24614859465509653</v>
      </c>
    </row>
    <row r="251" spans="12:13">
      <c r="L251" s="6">
        <f t="shared" si="11"/>
        <v>1023634545</v>
      </c>
      <c r="M251" s="20">
        <f t="shared" si="12"/>
        <v>0.23833348997868598</v>
      </c>
    </row>
    <row r="252" spans="12:13">
      <c r="L252" s="6">
        <f t="shared" si="11"/>
        <v>1447994714</v>
      </c>
      <c r="M252" s="20">
        <f t="shared" si="12"/>
        <v>0.33713754126802087</v>
      </c>
    </row>
    <row r="253" spans="12:13">
      <c r="L253" s="6">
        <f t="shared" si="11"/>
        <v>167003696</v>
      </c>
      <c r="M253" s="20">
        <f t="shared" si="12"/>
        <v>3.8883578032255173E-2</v>
      </c>
    </row>
    <row r="254" spans="12:13">
      <c r="L254" s="6">
        <f t="shared" si="11"/>
        <v>238993165</v>
      </c>
      <c r="M254" s="20">
        <f t="shared" si="12"/>
        <v>5.5644932435825467E-2</v>
      </c>
    </row>
    <row r="255" spans="12:13">
      <c r="L255" s="6">
        <f t="shared" si="11"/>
        <v>3810403142</v>
      </c>
      <c r="M255" s="20">
        <f t="shared" si="12"/>
        <v>0.88717861613258719</v>
      </c>
    </row>
    <row r="256" spans="12:13">
      <c r="L256" s="6">
        <f t="shared" si="11"/>
        <v>1553565484</v>
      </c>
      <c r="M256" s="20">
        <f t="shared" si="12"/>
        <v>0.3617176515981555</v>
      </c>
    </row>
    <row r="257" spans="12:13">
      <c r="L257" s="6">
        <f t="shared" si="11"/>
        <v>1419327448</v>
      </c>
      <c r="M257" s="20">
        <f t="shared" si="12"/>
        <v>0.33046292327344418</v>
      </c>
    </row>
    <row r="258" spans="12:13">
      <c r="L258" s="6">
        <f t="shared" ref="L258:L321" si="13">MOD($I$13*L257+$J$13,2^32)</f>
        <v>1506987156</v>
      </c>
      <c r="M258" s="20">
        <f t="shared" si="12"/>
        <v>0.35087278950959444</v>
      </c>
    </row>
    <row r="259" spans="12:13">
      <c r="L259" s="6">
        <f t="shared" si="13"/>
        <v>489440800</v>
      </c>
      <c r="M259" s="20">
        <f t="shared" si="12"/>
        <v>0.11395681649446487</v>
      </c>
    </row>
    <row r="260" spans="12:13">
      <c r="L260" s="6">
        <f t="shared" si="13"/>
        <v>2551934525</v>
      </c>
      <c r="M260" s="20">
        <f t="shared" si="12"/>
        <v>0.59416855801828206</v>
      </c>
    </row>
    <row r="261" spans="12:13">
      <c r="L261" s="6">
        <f t="shared" si="13"/>
        <v>3556767924</v>
      </c>
      <c r="M261" s="20">
        <f t="shared" ref="M261:M324" si="14">L261/2^32</f>
        <v>0.82812456507235765</v>
      </c>
    </row>
    <row r="262" spans="12:13">
      <c r="L262" s="6">
        <f t="shared" si="13"/>
        <v>629810112</v>
      </c>
      <c r="M262" s="20">
        <f t="shared" si="14"/>
        <v>0.14663909375667572</v>
      </c>
    </row>
    <row r="263" spans="12:13">
      <c r="L263" s="6">
        <f t="shared" si="13"/>
        <v>1425133405</v>
      </c>
      <c r="M263" s="20">
        <f t="shared" si="14"/>
        <v>0.33181472797878087</v>
      </c>
    </row>
    <row r="264" spans="12:13">
      <c r="L264" s="6">
        <f t="shared" si="13"/>
        <v>745441108</v>
      </c>
      <c r="M264" s="20">
        <f t="shared" si="14"/>
        <v>0.17356153298169374</v>
      </c>
    </row>
    <row r="265" spans="12:13">
      <c r="L265" s="6">
        <f t="shared" si="13"/>
        <v>2405335521</v>
      </c>
      <c r="M265" s="20">
        <f t="shared" si="14"/>
        <v>0.56003581755794585</v>
      </c>
    </row>
    <row r="266" spans="12:13">
      <c r="L266" s="6">
        <f t="shared" si="13"/>
        <v>2376526856</v>
      </c>
      <c r="M266" s="20">
        <f t="shared" si="14"/>
        <v>0.55332827754318714</v>
      </c>
    </row>
    <row r="267" spans="12:13">
      <c r="L267" s="6">
        <f t="shared" si="13"/>
        <v>1404756740</v>
      </c>
      <c r="M267" s="20">
        <f t="shared" si="14"/>
        <v>0.32707041595131159</v>
      </c>
    </row>
    <row r="268" spans="12:13">
      <c r="L268" s="6">
        <f t="shared" si="13"/>
        <v>123902416</v>
      </c>
      <c r="M268" s="20">
        <f t="shared" si="14"/>
        <v>2.8848279267549515E-2</v>
      </c>
    </row>
    <row r="269" spans="12:13">
      <c r="L269" s="6">
        <f t="shared" si="13"/>
        <v>1784225325</v>
      </c>
      <c r="M269" s="20">
        <f t="shared" si="14"/>
        <v>0.41542233084328473</v>
      </c>
    </row>
    <row r="270" spans="12:13">
      <c r="L270" s="6">
        <f t="shared" si="13"/>
        <v>1721145316</v>
      </c>
      <c r="M270" s="20">
        <f t="shared" si="14"/>
        <v>0.40073537174612284</v>
      </c>
    </row>
    <row r="271" spans="12:13">
      <c r="L271" s="6">
        <f t="shared" si="13"/>
        <v>244132144</v>
      </c>
      <c r="M271" s="20">
        <f t="shared" si="14"/>
        <v>5.6841444224119186E-2</v>
      </c>
    </row>
    <row r="272" spans="12:13">
      <c r="L272" s="6">
        <f t="shared" si="13"/>
        <v>4286662157</v>
      </c>
      <c r="M272" s="20">
        <f t="shared" si="14"/>
        <v>0.99806630914099514</v>
      </c>
    </row>
    <row r="273" spans="12:13">
      <c r="L273" s="6">
        <f t="shared" si="13"/>
        <v>636616260</v>
      </c>
      <c r="M273" s="20">
        <f t="shared" si="14"/>
        <v>0.14822377357631922</v>
      </c>
    </row>
    <row r="274" spans="12:13">
      <c r="L274" s="6">
        <f t="shared" si="13"/>
        <v>791886865</v>
      </c>
      <c r="M274" s="20">
        <f t="shared" si="14"/>
        <v>0.18437552847899497</v>
      </c>
    </row>
    <row r="275" spans="12:13">
      <c r="L275" s="6">
        <f t="shared" si="13"/>
        <v>1894273146</v>
      </c>
      <c r="M275" s="20">
        <f t="shared" si="14"/>
        <v>0.44104483583942056</v>
      </c>
    </row>
    <row r="276" spans="12:13">
      <c r="L276" s="6">
        <f t="shared" si="13"/>
        <v>4003436240</v>
      </c>
      <c r="M276" s="20">
        <f t="shared" si="14"/>
        <v>0.93212263658642769</v>
      </c>
    </row>
    <row r="277" spans="12:13">
      <c r="L277" s="6">
        <f t="shared" si="13"/>
        <v>3394434860</v>
      </c>
      <c r="M277" s="20">
        <f t="shared" si="14"/>
        <v>0.79032845329493284</v>
      </c>
    </row>
    <row r="278" spans="12:13">
      <c r="L278" s="6">
        <f t="shared" si="13"/>
        <v>2469652440</v>
      </c>
      <c r="M278" s="20">
        <f t="shared" si="14"/>
        <v>0.57501076720654964</v>
      </c>
    </row>
    <row r="279" spans="12:13">
      <c r="L279" s="6">
        <f t="shared" si="13"/>
        <v>907918484</v>
      </c>
      <c r="M279" s="20">
        <f t="shared" si="14"/>
        <v>0.21139124501496553</v>
      </c>
    </row>
    <row r="280" spans="12:13">
      <c r="L280" s="6">
        <f t="shared" si="13"/>
        <v>1487566369</v>
      </c>
      <c r="M280" s="20">
        <f t="shared" si="14"/>
        <v>0.34635103517211974</v>
      </c>
    </row>
    <row r="281" spans="12:13">
      <c r="L281" s="6">
        <f t="shared" si="13"/>
        <v>2784203592</v>
      </c>
      <c r="M281" s="20">
        <f t="shared" si="14"/>
        <v>0.64824791438877583</v>
      </c>
    </row>
    <row r="282" spans="12:13">
      <c r="L282" s="6">
        <f t="shared" si="13"/>
        <v>3131023684</v>
      </c>
      <c r="M282" s="20">
        <f t="shared" si="14"/>
        <v>0.72899825964123011</v>
      </c>
    </row>
    <row r="283" spans="12:13">
      <c r="L283" s="6">
        <f t="shared" si="13"/>
        <v>1564705552</v>
      </c>
      <c r="M283" s="20">
        <f t="shared" si="14"/>
        <v>0.36431140080094337</v>
      </c>
    </row>
    <row r="284" spans="12:13">
      <c r="L284" s="6">
        <f t="shared" si="13"/>
        <v>2188326508</v>
      </c>
      <c r="M284" s="20">
        <f t="shared" si="14"/>
        <v>0.50950946938246489</v>
      </c>
    </row>
    <row r="285" spans="12:13">
      <c r="L285" s="6">
        <f t="shared" si="13"/>
        <v>1176198680</v>
      </c>
      <c r="M285" s="20">
        <f t="shared" si="14"/>
        <v>0.27385509572923183</v>
      </c>
    </row>
    <row r="286" spans="12:13">
      <c r="L286" s="6">
        <f t="shared" si="13"/>
        <v>2621046228</v>
      </c>
      <c r="M286" s="20">
        <f t="shared" si="14"/>
        <v>0.61025988031178713</v>
      </c>
    </row>
    <row r="287" spans="12:13">
      <c r="L287" s="6">
        <f t="shared" si="13"/>
        <v>3774613088</v>
      </c>
      <c r="M287" s="20">
        <f t="shared" si="14"/>
        <v>0.87884559482336044</v>
      </c>
    </row>
    <row r="288" spans="12:13">
      <c r="L288" s="6">
        <f t="shared" si="13"/>
        <v>3428151676</v>
      </c>
      <c r="M288" s="20">
        <f t="shared" si="14"/>
        <v>0.79817876126617193</v>
      </c>
    </row>
    <row r="289" spans="12:13">
      <c r="L289" s="6">
        <f t="shared" si="13"/>
        <v>461286888</v>
      </c>
      <c r="M289" s="20">
        <f t="shared" si="14"/>
        <v>0.10740172304213047</v>
      </c>
    </row>
    <row r="290" spans="12:13">
      <c r="L290" s="6">
        <f t="shared" si="13"/>
        <v>1105402725</v>
      </c>
      <c r="M290" s="20">
        <f t="shared" si="14"/>
        <v>0.25737162795849144</v>
      </c>
    </row>
    <row r="291" spans="12:13">
      <c r="L291" s="6">
        <f t="shared" si="13"/>
        <v>2271808444</v>
      </c>
      <c r="M291" s="20">
        <f t="shared" si="14"/>
        <v>0.52894662227481604</v>
      </c>
    </row>
    <row r="292" spans="12:13">
      <c r="L292" s="6">
        <f t="shared" si="13"/>
        <v>4249666344</v>
      </c>
      <c r="M292" s="20">
        <f t="shared" si="14"/>
        <v>0.98945255018770695</v>
      </c>
    </row>
    <row r="293" spans="12:13">
      <c r="L293" s="6">
        <f t="shared" si="13"/>
        <v>4179652516</v>
      </c>
      <c r="M293" s="20">
        <f t="shared" si="14"/>
        <v>0.97315118554979563</v>
      </c>
    </row>
    <row r="294" spans="12:13">
      <c r="L294" s="6">
        <f t="shared" si="13"/>
        <v>4250394096</v>
      </c>
      <c r="M294" s="20">
        <f t="shared" si="14"/>
        <v>0.98962199315428734</v>
      </c>
    </row>
    <row r="295" spans="12:13">
      <c r="L295" s="6">
        <f t="shared" si="13"/>
        <v>483931084</v>
      </c>
      <c r="M295" s="20">
        <f t="shared" si="14"/>
        <v>0.11267398577183485</v>
      </c>
    </row>
    <row r="296" spans="12:13">
      <c r="L296" s="6">
        <f t="shared" si="13"/>
        <v>188029945</v>
      </c>
      <c r="M296" s="20">
        <f t="shared" si="14"/>
        <v>4.3779133120551705E-2</v>
      </c>
    </row>
    <row r="297" spans="12:13">
      <c r="L297" s="6">
        <f t="shared" si="13"/>
        <v>73905986</v>
      </c>
      <c r="M297" s="20">
        <f t="shared" si="14"/>
        <v>1.7207578290253878E-2</v>
      </c>
    </row>
    <row r="298" spans="12:13">
      <c r="L298" s="6">
        <f t="shared" si="13"/>
        <v>2096838391</v>
      </c>
      <c r="M298" s="20">
        <f t="shared" si="14"/>
        <v>0.48820823221467435</v>
      </c>
    </row>
    <row r="299" spans="12:13">
      <c r="L299" s="6">
        <f t="shared" si="13"/>
        <v>1083092008</v>
      </c>
      <c r="M299" s="20">
        <f t="shared" si="14"/>
        <v>0.25217700935900211</v>
      </c>
    </row>
    <row r="300" spans="12:13">
      <c r="L300" s="6">
        <f t="shared" si="13"/>
        <v>2486584484</v>
      </c>
      <c r="M300" s="20">
        <f t="shared" si="14"/>
        <v>0.57895306590944529</v>
      </c>
    </row>
    <row r="301" spans="12:13">
      <c r="L301" s="6">
        <f t="shared" si="13"/>
        <v>4161580784</v>
      </c>
      <c r="M301" s="20">
        <f t="shared" si="14"/>
        <v>0.96894353255629539</v>
      </c>
    </row>
    <row r="302" spans="12:13">
      <c r="L302" s="6">
        <f t="shared" si="13"/>
        <v>1590415564</v>
      </c>
      <c r="M302" s="20">
        <f t="shared" si="14"/>
        <v>0.37029747944325209</v>
      </c>
    </row>
    <row r="303" spans="12:13">
      <c r="L303" s="6">
        <f t="shared" si="13"/>
        <v>2241139960</v>
      </c>
      <c r="M303" s="20">
        <f t="shared" si="14"/>
        <v>0.52180605940520763</v>
      </c>
    </row>
    <row r="304" spans="12:13">
      <c r="L304" s="6">
        <f t="shared" si="13"/>
        <v>2631182132</v>
      </c>
      <c r="M304" s="20">
        <f t="shared" si="14"/>
        <v>0.61261982936412096</v>
      </c>
    </row>
    <row r="305" spans="12:13">
      <c r="L305" s="6">
        <f t="shared" si="13"/>
        <v>1228374080</v>
      </c>
      <c r="M305" s="20">
        <f t="shared" si="14"/>
        <v>0.28600312769412994</v>
      </c>
    </row>
    <row r="306" spans="12:13">
      <c r="L306" s="6">
        <f t="shared" si="13"/>
        <v>2594570716</v>
      </c>
      <c r="M306" s="20">
        <f t="shared" si="14"/>
        <v>0.60409556981176138</v>
      </c>
    </row>
    <row r="307" spans="12:13">
      <c r="L307" s="6">
        <f t="shared" si="13"/>
        <v>726262472</v>
      </c>
      <c r="M307" s="20">
        <f t="shared" si="14"/>
        <v>0.16909615881741047</v>
      </c>
    </row>
    <row r="308" spans="12:13">
      <c r="L308" s="6">
        <f t="shared" si="13"/>
        <v>4139199173</v>
      </c>
      <c r="M308" s="20">
        <f t="shared" si="14"/>
        <v>0.96373240766115487</v>
      </c>
    </row>
    <row r="309" spans="12:13">
      <c r="L309" s="6">
        <f t="shared" si="13"/>
        <v>1168946076</v>
      </c>
      <c r="M309" s="20">
        <f t="shared" si="14"/>
        <v>0.2721664672717452</v>
      </c>
    </row>
    <row r="310" spans="12:13">
      <c r="L310" s="6">
        <f t="shared" si="13"/>
        <v>3297618312</v>
      </c>
      <c r="M310" s="20">
        <f t="shared" si="14"/>
        <v>0.76778659410774708</v>
      </c>
    </row>
    <row r="311" spans="12:13">
      <c r="L311" s="6">
        <f t="shared" si="13"/>
        <v>1139671684</v>
      </c>
      <c r="M311" s="20">
        <f t="shared" si="14"/>
        <v>0.26535049173980951</v>
      </c>
    </row>
    <row r="312" spans="12:13">
      <c r="L312" s="6">
        <f t="shared" si="13"/>
        <v>4290818896</v>
      </c>
      <c r="M312" s="20">
        <f t="shared" si="14"/>
        <v>0.99903412535786629</v>
      </c>
    </row>
    <row r="313" spans="12:13">
      <c r="L313" s="6">
        <f t="shared" si="13"/>
        <v>900196780</v>
      </c>
      <c r="M313" s="20">
        <f t="shared" si="14"/>
        <v>0.20959339570254087</v>
      </c>
    </row>
    <row r="314" spans="12:13">
      <c r="L314" s="6">
        <f t="shared" si="13"/>
        <v>1668855897</v>
      </c>
      <c r="M314" s="20">
        <f t="shared" si="14"/>
        <v>0.38856079266406596</v>
      </c>
    </row>
    <row r="315" spans="12:13">
      <c r="L315" s="6">
        <f t="shared" si="13"/>
        <v>3775301664</v>
      </c>
      <c r="M315" s="20">
        <f t="shared" si="14"/>
        <v>0.87900591641664505</v>
      </c>
    </row>
    <row r="316" spans="12:13">
      <c r="L316" s="6">
        <f t="shared" si="13"/>
        <v>2564474940</v>
      </c>
      <c r="M316" s="20">
        <f t="shared" si="14"/>
        <v>0.5970883509144187</v>
      </c>
    </row>
    <row r="317" spans="12:13">
      <c r="L317" s="6">
        <f t="shared" si="13"/>
        <v>3453605288</v>
      </c>
      <c r="M317" s="20">
        <f t="shared" si="14"/>
        <v>0.80410514213144779</v>
      </c>
    </row>
    <row r="318" spans="12:13">
      <c r="L318" s="6">
        <f t="shared" si="13"/>
        <v>2078203940</v>
      </c>
      <c r="M318" s="20">
        <f t="shared" si="14"/>
        <v>0.48386956099420786</v>
      </c>
    </row>
    <row r="319" spans="12:13">
      <c r="L319" s="6">
        <f t="shared" si="13"/>
        <v>370021488</v>
      </c>
      <c r="M319" s="20">
        <f t="shared" si="14"/>
        <v>8.6152341216802597E-2</v>
      </c>
    </row>
    <row r="320" spans="12:13">
      <c r="L320" s="6">
        <f t="shared" si="13"/>
        <v>1008826445</v>
      </c>
      <c r="M320" s="20">
        <f t="shared" si="14"/>
        <v>0.23488571052439511</v>
      </c>
    </row>
    <row r="321" spans="12:13">
      <c r="L321" s="6">
        <f t="shared" si="13"/>
        <v>1801177990</v>
      </c>
      <c r="M321" s="20">
        <f t="shared" si="14"/>
        <v>0.41936943074688315</v>
      </c>
    </row>
    <row r="322" spans="12:13">
      <c r="L322" s="6">
        <f t="shared" ref="L322:L385" si="15">MOD($I$13*L321+$J$13,2^32)</f>
        <v>1466978924</v>
      </c>
      <c r="M322" s="20">
        <f t="shared" si="14"/>
        <v>0.3415576471015811</v>
      </c>
    </row>
    <row r="323" spans="12:13">
      <c r="L323" s="6">
        <f t="shared" si="15"/>
        <v>3287665176</v>
      </c>
      <c r="M323" s="20">
        <f t="shared" si="14"/>
        <v>0.76546919904649258</v>
      </c>
    </row>
    <row r="324" spans="12:13">
      <c r="L324" s="6">
        <f t="shared" si="15"/>
        <v>44923348</v>
      </c>
      <c r="M324" s="20">
        <f t="shared" si="14"/>
        <v>1.0459532029926777E-2</v>
      </c>
    </row>
    <row r="325" spans="12:13">
      <c r="L325" s="6">
        <f t="shared" si="15"/>
        <v>1065701985</v>
      </c>
      <c r="M325" s="20">
        <f t="shared" ref="M325:M388" si="16">L325/2^32</f>
        <v>0.24812807911075652</v>
      </c>
    </row>
    <row r="326" spans="12:13">
      <c r="L326" s="6">
        <f t="shared" si="15"/>
        <v>1619657354</v>
      </c>
      <c r="M326" s="20">
        <f t="shared" si="16"/>
        <v>0.37710586423054338</v>
      </c>
    </row>
    <row r="327" spans="12:13">
      <c r="L327" s="6">
        <f t="shared" si="15"/>
        <v>3265982880</v>
      </c>
      <c r="M327" s="20">
        <f t="shared" si="16"/>
        <v>0.76042089611291885</v>
      </c>
    </row>
    <row r="328" spans="12:13">
      <c r="L328" s="6">
        <f t="shared" si="15"/>
        <v>2739643324</v>
      </c>
      <c r="M328" s="20">
        <f t="shared" si="16"/>
        <v>0.6378729185089469</v>
      </c>
    </row>
    <row r="329" spans="12:13">
      <c r="L329" s="6">
        <f t="shared" si="15"/>
        <v>88505128</v>
      </c>
      <c r="M329" s="20">
        <f t="shared" si="16"/>
        <v>2.0606705918908119E-2</v>
      </c>
    </row>
    <row r="330" spans="12:13">
      <c r="L330" s="6">
        <f t="shared" si="15"/>
        <v>937871269</v>
      </c>
      <c r="M330" s="20">
        <f t="shared" si="16"/>
        <v>0.21836517122574151</v>
      </c>
    </row>
    <row r="331" spans="12:13">
      <c r="L331" s="6">
        <f t="shared" si="15"/>
        <v>304220926</v>
      </c>
      <c r="M331" s="20">
        <f t="shared" si="16"/>
        <v>7.0831954013556242E-2</v>
      </c>
    </row>
    <row r="332" spans="12:13">
      <c r="L332" s="6">
        <f t="shared" si="15"/>
        <v>1995006851</v>
      </c>
      <c r="M332" s="20">
        <f t="shared" si="16"/>
        <v>0.46449872921220958</v>
      </c>
    </row>
    <row r="333" spans="12:13">
      <c r="L333" s="6">
        <f t="shared" si="15"/>
        <v>1889135428</v>
      </c>
      <c r="M333" s="20">
        <f t="shared" si="16"/>
        <v>0.43984861765056849</v>
      </c>
    </row>
    <row r="334" spans="12:13">
      <c r="L334" s="6">
        <f t="shared" si="15"/>
        <v>1196115216</v>
      </c>
      <c r="M334" s="20">
        <f t="shared" si="16"/>
        <v>0.2784922756254673</v>
      </c>
    </row>
    <row r="335" spans="12:13">
      <c r="L335" s="6">
        <f t="shared" si="15"/>
        <v>519966828</v>
      </c>
      <c r="M335" s="20">
        <f t="shared" si="16"/>
        <v>0.12106421124190092</v>
      </c>
    </row>
    <row r="336" spans="12:13">
      <c r="L336" s="6">
        <f t="shared" si="15"/>
        <v>1602121753</v>
      </c>
      <c r="M336" s="20">
        <f t="shared" si="16"/>
        <v>0.37302303896285594</v>
      </c>
    </row>
    <row r="337" spans="12:13">
      <c r="L337" s="6">
        <f t="shared" si="15"/>
        <v>3766197472</v>
      </c>
      <c r="M337" s="20">
        <f t="shared" si="16"/>
        <v>0.87688618153333664</v>
      </c>
    </row>
    <row r="338" spans="12:13">
      <c r="L338" s="6">
        <f t="shared" si="15"/>
        <v>2763560444</v>
      </c>
      <c r="M338" s="20">
        <f t="shared" si="16"/>
        <v>0.64344155695289373</v>
      </c>
    </row>
    <row r="339" spans="12:13">
      <c r="L339" s="6">
        <f t="shared" si="15"/>
        <v>1289095272</v>
      </c>
      <c r="M339" s="20">
        <f t="shared" si="16"/>
        <v>0.30014088191092014</v>
      </c>
    </row>
    <row r="340" spans="12:13">
      <c r="L340" s="6">
        <f t="shared" si="15"/>
        <v>1808741348</v>
      </c>
      <c r="M340" s="20">
        <f t="shared" si="16"/>
        <v>0.4211304122582078</v>
      </c>
    </row>
    <row r="341" spans="12:13">
      <c r="L341" s="6">
        <f t="shared" si="15"/>
        <v>3166246192</v>
      </c>
      <c r="M341" s="20">
        <f t="shared" si="16"/>
        <v>0.73719913884997368</v>
      </c>
    </row>
    <row r="342" spans="12:13">
      <c r="L342" s="6">
        <f t="shared" si="15"/>
        <v>4187505164</v>
      </c>
      <c r="M342" s="20">
        <f t="shared" si="16"/>
        <v>0.9749795226380229</v>
      </c>
    </row>
    <row r="343" spans="12:13">
      <c r="L343" s="6">
        <f t="shared" si="15"/>
        <v>482940216</v>
      </c>
      <c r="M343" s="20">
        <f t="shared" si="16"/>
        <v>0.11244328133761883</v>
      </c>
    </row>
    <row r="344" spans="12:13">
      <c r="L344" s="6">
        <f t="shared" si="15"/>
        <v>778431093</v>
      </c>
      <c r="M344" s="20">
        <f t="shared" si="16"/>
        <v>0.18124261242337525</v>
      </c>
    </row>
    <row r="345" spans="12:13">
      <c r="L345" s="6">
        <f t="shared" si="15"/>
        <v>3210993550</v>
      </c>
      <c r="M345" s="20">
        <f t="shared" si="16"/>
        <v>0.74761769501492381</v>
      </c>
    </row>
    <row r="346" spans="12:13">
      <c r="L346" s="6">
        <f t="shared" si="15"/>
        <v>1106968276</v>
      </c>
      <c r="M346" s="20">
        <f t="shared" si="16"/>
        <v>0.2577361362054944</v>
      </c>
    </row>
    <row r="347" spans="12:13">
      <c r="L347" s="6">
        <f t="shared" si="15"/>
        <v>1082004320</v>
      </c>
      <c r="M347" s="20">
        <f t="shared" si="16"/>
        <v>0.25192376226186752</v>
      </c>
    </row>
    <row r="348" spans="12:13">
      <c r="L348" s="6">
        <f t="shared" si="15"/>
        <v>203496060</v>
      </c>
      <c r="M348" s="20">
        <f t="shared" si="16"/>
        <v>4.7380118630826473E-2</v>
      </c>
    </row>
    <row r="349" spans="12:13">
      <c r="L349" s="6">
        <f t="shared" si="15"/>
        <v>777208553</v>
      </c>
      <c r="M349" s="20">
        <f t="shared" si="16"/>
        <v>0.18095796764828265</v>
      </c>
    </row>
    <row r="350" spans="12:13">
      <c r="L350" s="6">
        <f t="shared" si="15"/>
        <v>1871143282</v>
      </c>
      <c r="M350" s="20">
        <f t="shared" si="16"/>
        <v>0.43565949471667409</v>
      </c>
    </row>
    <row r="351" spans="12:13">
      <c r="L351" s="6">
        <f t="shared" si="15"/>
        <v>3199912808</v>
      </c>
      <c r="M351" s="20">
        <f t="shared" si="16"/>
        <v>0.74503775872290134</v>
      </c>
    </row>
    <row r="352" spans="12:13">
      <c r="L352" s="6">
        <f t="shared" si="15"/>
        <v>2941000420</v>
      </c>
      <c r="M352" s="20">
        <f t="shared" si="16"/>
        <v>0.68475502077490091</v>
      </c>
    </row>
    <row r="353" spans="12:13">
      <c r="L353" s="6">
        <f t="shared" si="15"/>
        <v>308531248</v>
      </c>
      <c r="M353" s="20">
        <f t="shared" si="16"/>
        <v>7.1835529059171677E-2</v>
      </c>
    </row>
    <row r="354" spans="12:13">
      <c r="L354" s="6">
        <f t="shared" si="15"/>
        <v>3464151309</v>
      </c>
      <c r="M354" s="20">
        <f t="shared" si="16"/>
        <v>0.80656057898886502</v>
      </c>
    </row>
    <row r="355" spans="12:13">
      <c r="L355" s="6">
        <f t="shared" si="15"/>
        <v>294927684</v>
      </c>
      <c r="M355" s="20">
        <f t="shared" si="16"/>
        <v>6.8668202497065067E-2</v>
      </c>
    </row>
    <row r="356" spans="12:13">
      <c r="L356" s="6">
        <f t="shared" si="15"/>
        <v>503017233</v>
      </c>
      <c r="M356" s="20">
        <f t="shared" si="16"/>
        <v>0.11711782612837851</v>
      </c>
    </row>
    <row r="357" spans="12:13">
      <c r="L357" s="6">
        <f t="shared" si="15"/>
        <v>1780606842</v>
      </c>
      <c r="M357" s="20">
        <f t="shared" si="16"/>
        <v>0.41457983711734414</v>
      </c>
    </row>
    <row r="358" spans="12:13">
      <c r="L358" s="6">
        <f t="shared" si="15"/>
        <v>927941072</v>
      </c>
      <c r="M358" s="20">
        <f t="shared" si="16"/>
        <v>0.21605311706662178</v>
      </c>
    </row>
    <row r="359" spans="12:13">
      <c r="L359" s="6">
        <f t="shared" si="15"/>
        <v>2217059885</v>
      </c>
      <c r="M359" s="20">
        <f t="shared" si="16"/>
        <v>0.51619948004372418</v>
      </c>
    </row>
    <row r="360" spans="12:13">
      <c r="L360" s="6">
        <f t="shared" si="15"/>
        <v>3391193060</v>
      </c>
      <c r="M360" s="20">
        <f t="shared" si="16"/>
        <v>0.78957366291433573</v>
      </c>
    </row>
    <row r="361" spans="12:13">
      <c r="L361" s="6">
        <f t="shared" si="15"/>
        <v>1789063472</v>
      </c>
      <c r="M361" s="20">
        <f t="shared" si="16"/>
        <v>0.41654879972338676</v>
      </c>
    </row>
    <row r="362" spans="12:13">
      <c r="L362" s="6">
        <f t="shared" si="15"/>
        <v>1258581516</v>
      </c>
      <c r="M362" s="20">
        <f t="shared" si="16"/>
        <v>0.29303634446114302</v>
      </c>
    </row>
    <row r="363" spans="12:13">
      <c r="L363" s="6">
        <f t="shared" si="15"/>
        <v>2388873528</v>
      </c>
      <c r="M363" s="20">
        <f t="shared" si="16"/>
        <v>0.55620296113193035</v>
      </c>
    </row>
    <row r="364" spans="12:13">
      <c r="L364" s="6">
        <f t="shared" si="15"/>
        <v>3282499188</v>
      </c>
      <c r="M364" s="20">
        <f t="shared" si="16"/>
        <v>0.76426639873534441</v>
      </c>
    </row>
    <row r="365" spans="12:13">
      <c r="L365" s="6">
        <f t="shared" si="15"/>
        <v>1152239232</v>
      </c>
      <c r="M365" s="20">
        <f t="shared" si="16"/>
        <v>0.26827660202980042</v>
      </c>
    </row>
    <row r="366" spans="12:13">
      <c r="L366" s="6">
        <f t="shared" si="15"/>
        <v>3641889564</v>
      </c>
      <c r="M366" s="20">
        <f t="shared" si="16"/>
        <v>0.84794349130243063</v>
      </c>
    </row>
    <row r="367" spans="12:13">
      <c r="L367" s="6">
        <f t="shared" si="15"/>
        <v>360891144</v>
      </c>
      <c r="M367" s="20">
        <f t="shared" si="16"/>
        <v>8.402651734650135E-2</v>
      </c>
    </row>
    <row r="368" spans="12:13">
      <c r="L368" s="6">
        <f t="shared" si="15"/>
        <v>1374146053</v>
      </c>
      <c r="M368" s="20">
        <f t="shared" si="16"/>
        <v>0.31994330999441445</v>
      </c>
    </row>
    <row r="369" spans="12:13">
      <c r="L369" s="6">
        <f t="shared" si="15"/>
        <v>1196506588</v>
      </c>
      <c r="M369" s="20">
        <f t="shared" si="16"/>
        <v>0.2785833990201354</v>
      </c>
    </row>
    <row r="370" spans="12:13">
      <c r="L370" s="6">
        <f t="shared" si="15"/>
        <v>3311922888</v>
      </c>
      <c r="M370" s="20">
        <f t="shared" si="16"/>
        <v>0.77111713774502277</v>
      </c>
    </row>
    <row r="371" spans="12:13">
      <c r="L371" s="6">
        <f t="shared" si="15"/>
        <v>4240033476</v>
      </c>
      <c r="M371" s="20">
        <f t="shared" si="16"/>
        <v>0.98720972333103418</v>
      </c>
    </row>
    <row r="372" spans="12:13">
      <c r="L372" s="6">
        <f t="shared" si="15"/>
        <v>3483036304</v>
      </c>
      <c r="M372" s="20">
        <f t="shared" si="16"/>
        <v>0.81095758453011513</v>
      </c>
    </row>
    <row r="373" spans="12:13">
      <c r="L373" s="6">
        <f t="shared" si="15"/>
        <v>1972172780</v>
      </c>
      <c r="M373" s="20">
        <f t="shared" si="16"/>
        <v>0.45918225776404142</v>
      </c>
    </row>
    <row r="374" spans="12:13">
      <c r="L374" s="6">
        <f t="shared" si="15"/>
        <v>2800595352</v>
      </c>
      <c r="M374" s="20">
        <f t="shared" si="16"/>
        <v>0.65206441842019558</v>
      </c>
    </row>
    <row r="375" spans="12:13">
      <c r="L375" s="6">
        <f t="shared" si="15"/>
        <v>2826025812</v>
      </c>
      <c r="M375" s="20">
        <f t="shared" si="16"/>
        <v>0.65798540879040956</v>
      </c>
    </row>
    <row r="376" spans="12:13">
      <c r="L376" s="6">
        <f t="shared" si="15"/>
        <v>3947636192</v>
      </c>
      <c r="M376" s="20">
        <f t="shared" si="16"/>
        <v>0.91913067549467087</v>
      </c>
    </row>
    <row r="377" spans="12:13">
      <c r="L377" s="6">
        <f t="shared" si="15"/>
        <v>2569833212</v>
      </c>
      <c r="M377" s="20">
        <f t="shared" si="16"/>
        <v>0.5983359208330512</v>
      </c>
    </row>
    <row r="378" spans="12:13">
      <c r="L378" s="6">
        <f t="shared" si="15"/>
        <v>1039300968</v>
      </c>
      <c r="M378" s="20">
        <f t="shared" si="16"/>
        <v>0.24198111332952976</v>
      </c>
    </row>
    <row r="379" spans="12:13">
      <c r="L379" s="6">
        <f t="shared" si="15"/>
        <v>3576033509</v>
      </c>
      <c r="M379" s="20">
        <f t="shared" si="16"/>
        <v>0.83261018362827599</v>
      </c>
    </row>
    <row r="380" spans="12:13">
      <c r="L380" s="6">
        <f t="shared" si="15"/>
        <v>759259964</v>
      </c>
      <c r="M380" s="20">
        <f t="shared" si="16"/>
        <v>0.17677898611873388</v>
      </c>
    </row>
    <row r="381" spans="12:13">
      <c r="L381" s="6">
        <f t="shared" si="15"/>
        <v>3349591209</v>
      </c>
      <c r="M381" s="20">
        <f t="shared" si="16"/>
        <v>0.77988747716881335</v>
      </c>
    </row>
    <row r="382" spans="12:13">
      <c r="L382" s="6">
        <f t="shared" si="15"/>
        <v>2792417328</v>
      </c>
      <c r="M382" s="20">
        <f t="shared" si="16"/>
        <v>0.65016032382845879</v>
      </c>
    </row>
    <row r="383" spans="12:13">
      <c r="L383" s="6">
        <f t="shared" si="15"/>
        <v>2099050764</v>
      </c>
      <c r="M383" s="20">
        <f t="shared" si="16"/>
        <v>0.4887233404442668</v>
      </c>
    </row>
    <row r="384" spans="12:13">
      <c r="L384" s="6">
        <f t="shared" si="15"/>
        <v>1760124984</v>
      </c>
      <c r="M384" s="20">
        <f t="shared" si="16"/>
        <v>0.40981103293597698</v>
      </c>
    </row>
    <row r="385" spans="12:13">
      <c r="L385" s="6">
        <f t="shared" si="15"/>
        <v>370194804</v>
      </c>
      <c r="M385" s="20">
        <f t="shared" si="16"/>
        <v>8.6192694492638111E-2</v>
      </c>
    </row>
    <row r="386" spans="12:13">
      <c r="L386" s="6">
        <f t="shared" ref="L386:L449" si="17">MOD($I$13*L385+$J$13,2^32)</f>
        <v>4159417729</v>
      </c>
      <c r="M386" s="20">
        <f t="shared" si="16"/>
        <v>0.96843990706838667</v>
      </c>
    </row>
    <row r="387" spans="12:13">
      <c r="L387" s="6">
        <f t="shared" si="17"/>
        <v>1359627048</v>
      </c>
      <c r="M387" s="20">
        <f t="shared" si="16"/>
        <v>0.3165628407150507</v>
      </c>
    </row>
    <row r="388" spans="12:13">
      <c r="L388" s="6">
        <f t="shared" si="17"/>
        <v>3040866212</v>
      </c>
      <c r="M388" s="20">
        <f t="shared" si="16"/>
        <v>0.70800683740526438</v>
      </c>
    </row>
    <row r="389" spans="12:13">
      <c r="L389" s="6">
        <f t="shared" si="17"/>
        <v>1349606896</v>
      </c>
      <c r="M389" s="20">
        <f t="shared" ref="M389:M452" si="18">L389/2^32</f>
        <v>0.31422984227538109</v>
      </c>
    </row>
    <row r="390" spans="12:13">
      <c r="L390" s="6">
        <f t="shared" si="17"/>
        <v>3701715916</v>
      </c>
      <c r="M390" s="20">
        <f t="shared" si="18"/>
        <v>0.8618728993460536</v>
      </c>
    </row>
    <row r="391" spans="12:13">
      <c r="L391" s="6">
        <f t="shared" si="17"/>
        <v>705338360</v>
      </c>
      <c r="M391" s="20">
        <f t="shared" si="18"/>
        <v>0.16422438435256481</v>
      </c>
    </row>
    <row r="392" spans="12:13">
      <c r="L392" s="6">
        <f t="shared" si="17"/>
        <v>138379829</v>
      </c>
      <c r="M392" s="20">
        <f t="shared" si="18"/>
        <v>3.2219064654782414E-2</v>
      </c>
    </row>
    <row r="393" spans="12:13">
      <c r="L393" s="6">
        <f t="shared" si="17"/>
        <v>4026225742</v>
      </c>
      <c r="M393" s="20">
        <f t="shared" si="18"/>
        <v>0.93742873100563884</v>
      </c>
    </row>
    <row r="394" spans="12:13">
      <c r="L394" s="6">
        <f t="shared" si="17"/>
        <v>3128405140</v>
      </c>
      <c r="M394" s="20">
        <f t="shared" si="18"/>
        <v>0.72838858235627413</v>
      </c>
    </row>
    <row r="395" spans="12:13">
      <c r="L395" s="6">
        <f t="shared" si="17"/>
        <v>3085674016</v>
      </c>
      <c r="M395" s="20">
        <f t="shared" si="18"/>
        <v>0.71843946725130081</v>
      </c>
    </row>
    <row r="396" spans="12:13">
      <c r="L396" s="6">
        <f t="shared" si="17"/>
        <v>1655918140</v>
      </c>
      <c r="M396" s="20">
        <f t="shared" si="18"/>
        <v>0.3855484863743186</v>
      </c>
    </row>
    <row r="397" spans="12:13">
      <c r="L397" s="6">
        <f t="shared" si="17"/>
        <v>2660672424</v>
      </c>
      <c r="M397" s="20">
        <f t="shared" si="18"/>
        <v>0.61948607303202152</v>
      </c>
    </row>
    <row r="398" spans="12:13">
      <c r="L398" s="6">
        <f t="shared" si="17"/>
        <v>3306903076</v>
      </c>
      <c r="M398" s="20">
        <f t="shared" si="18"/>
        <v>0.76994837168604136</v>
      </c>
    </row>
    <row r="399" spans="12:13">
      <c r="L399" s="6">
        <f t="shared" si="17"/>
        <v>395186800</v>
      </c>
      <c r="M399" s="20">
        <f t="shared" si="18"/>
        <v>9.2011597007513046E-2</v>
      </c>
    </row>
    <row r="400" spans="12:13">
      <c r="L400" s="6">
        <f t="shared" si="17"/>
        <v>3493289549</v>
      </c>
      <c r="M400" s="20">
        <f t="shared" si="18"/>
        <v>0.81334485416300595</v>
      </c>
    </row>
    <row r="401" spans="12:13">
      <c r="L401" s="6">
        <f t="shared" si="17"/>
        <v>2249619844</v>
      </c>
      <c r="M401" s="20">
        <f t="shared" si="18"/>
        <v>0.52378043625503778</v>
      </c>
    </row>
    <row r="402" spans="12:13">
      <c r="L402" s="6">
        <f t="shared" si="17"/>
        <v>15842896</v>
      </c>
      <c r="M402" s="20">
        <f t="shared" si="18"/>
        <v>3.6887116730213165E-3</v>
      </c>
    </row>
    <row r="403" spans="12:13">
      <c r="L403" s="6">
        <f t="shared" si="17"/>
        <v>1726773421</v>
      </c>
      <c r="M403" s="20">
        <f t="shared" si="18"/>
        <v>0.4020457670558244</v>
      </c>
    </row>
    <row r="404" spans="12:13">
      <c r="L404" s="6">
        <f t="shared" si="17"/>
        <v>1317974116</v>
      </c>
      <c r="M404" s="20">
        <f t="shared" si="18"/>
        <v>0.30686476174741983</v>
      </c>
    </row>
    <row r="405" spans="12:13">
      <c r="L405" s="6">
        <f t="shared" si="17"/>
        <v>1727588272</v>
      </c>
      <c r="M405" s="20">
        <f t="shared" si="18"/>
        <v>0.4022354893386364</v>
      </c>
    </row>
    <row r="406" spans="12:13">
      <c r="L406" s="6">
        <f t="shared" si="17"/>
        <v>740979340</v>
      </c>
      <c r="M406" s="20">
        <f t="shared" si="18"/>
        <v>0.17252269666641951</v>
      </c>
    </row>
    <row r="407" spans="12:13">
      <c r="L407" s="6">
        <f t="shared" si="17"/>
        <v>436210617</v>
      </c>
      <c r="M407" s="20">
        <f t="shared" si="18"/>
        <v>0.10156319872476161</v>
      </c>
    </row>
    <row r="408" spans="12:13">
      <c r="L408" s="6">
        <f t="shared" si="17"/>
        <v>813212674</v>
      </c>
      <c r="M408" s="20">
        <f t="shared" si="18"/>
        <v>0.18934083031490445</v>
      </c>
    </row>
    <row r="409" spans="12:13">
      <c r="L409" s="6">
        <f t="shared" si="17"/>
        <v>612039863</v>
      </c>
      <c r="M409" s="20">
        <f t="shared" si="18"/>
        <v>0.14250163524411619</v>
      </c>
    </row>
    <row r="410" spans="12:13">
      <c r="L410" s="6">
        <f t="shared" si="17"/>
        <v>857503464</v>
      </c>
      <c r="M410" s="20">
        <f t="shared" si="18"/>
        <v>0.19965308345854282</v>
      </c>
    </row>
    <row r="411" spans="12:13">
      <c r="L411" s="6">
        <f t="shared" si="17"/>
        <v>3137556581</v>
      </c>
      <c r="M411" s="20">
        <f t="shared" si="18"/>
        <v>0.73051931825466454</v>
      </c>
    </row>
    <row r="412" spans="12:13">
      <c r="L412" s="6">
        <f t="shared" si="17"/>
        <v>3196370108</v>
      </c>
      <c r="M412" s="20">
        <f t="shared" si="18"/>
        <v>0.74421290960162878</v>
      </c>
    </row>
    <row r="413" spans="12:13">
      <c r="L413" s="6">
        <f t="shared" si="17"/>
        <v>752468008</v>
      </c>
      <c r="M413" s="20">
        <f t="shared" si="18"/>
        <v>0.17519761063158512</v>
      </c>
    </row>
    <row r="414" spans="12:13">
      <c r="L414" s="6">
        <f t="shared" si="17"/>
        <v>2502576293</v>
      </c>
      <c r="M414" s="20">
        <f t="shared" si="18"/>
        <v>0.58267644909210503</v>
      </c>
    </row>
    <row r="415" spans="12:13">
      <c r="L415" s="6">
        <f t="shared" si="17"/>
        <v>2277808124</v>
      </c>
      <c r="M415" s="20">
        <f t="shared" si="18"/>
        <v>0.53034353163093328</v>
      </c>
    </row>
    <row r="416" spans="12:13">
      <c r="L416" s="6">
        <f t="shared" si="17"/>
        <v>1339826792</v>
      </c>
      <c r="M416" s="20">
        <f t="shared" si="18"/>
        <v>0.3119527343660593</v>
      </c>
    </row>
    <row r="417" spans="12:13">
      <c r="L417" s="6">
        <f t="shared" si="17"/>
        <v>3380643300</v>
      </c>
      <c r="M417" s="20">
        <f t="shared" si="18"/>
        <v>0.78711735550314188</v>
      </c>
    </row>
    <row r="418" spans="12:13">
      <c r="L418" s="6">
        <f t="shared" si="17"/>
        <v>2343845680</v>
      </c>
      <c r="M418" s="20">
        <f t="shared" si="18"/>
        <v>0.54571909829974174</v>
      </c>
    </row>
    <row r="419" spans="12:13">
      <c r="L419" s="6">
        <f t="shared" si="17"/>
        <v>3876283404</v>
      </c>
      <c r="M419" s="20">
        <f t="shared" si="18"/>
        <v>0.90251755993813276</v>
      </c>
    </row>
    <row r="420" spans="12:13">
      <c r="L420" s="6">
        <f t="shared" si="17"/>
        <v>1890307896</v>
      </c>
      <c r="M420" s="20">
        <f t="shared" si="18"/>
        <v>0.44012160412967205</v>
      </c>
    </row>
    <row r="421" spans="12:13">
      <c r="L421" s="6">
        <f t="shared" si="17"/>
        <v>74144884</v>
      </c>
      <c r="M421" s="20">
        <f t="shared" si="18"/>
        <v>1.72632010653615E-2</v>
      </c>
    </row>
    <row r="422" spans="12:13">
      <c r="L422" s="6">
        <f t="shared" si="17"/>
        <v>80016513</v>
      </c>
      <c r="M422" s="20">
        <f t="shared" si="18"/>
        <v>1.8630296224728227E-2</v>
      </c>
    </row>
    <row r="423" spans="12:13">
      <c r="L423" s="6">
        <f t="shared" si="17"/>
        <v>3494239786</v>
      </c>
      <c r="M423" s="20">
        <f t="shared" si="18"/>
        <v>0.81356609845533967</v>
      </c>
    </row>
    <row r="424" spans="12:13">
      <c r="L424" s="6">
        <f t="shared" si="17"/>
        <v>903690428</v>
      </c>
      <c r="M424" s="20">
        <f t="shared" si="18"/>
        <v>0.21040682401508093</v>
      </c>
    </row>
    <row r="425" spans="12:13">
      <c r="L425" s="6">
        <f t="shared" si="17"/>
        <v>1342442537</v>
      </c>
      <c r="M425" s="20">
        <f t="shared" si="18"/>
        <v>0.31256175995804369</v>
      </c>
    </row>
    <row r="426" spans="12:13">
      <c r="L426" s="6">
        <f t="shared" si="17"/>
        <v>4203469232</v>
      </c>
      <c r="M426" s="20">
        <f t="shared" si="18"/>
        <v>0.97869644686579704</v>
      </c>
    </row>
    <row r="427" spans="12:13">
      <c r="L427" s="6">
        <f t="shared" si="17"/>
        <v>2646260876</v>
      </c>
      <c r="M427" s="20">
        <f t="shared" si="18"/>
        <v>0.61613062303513288</v>
      </c>
    </row>
    <row r="428" spans="12:13">
      <c r="L428" s="6">
        <f t="shared" si="17"/>
        <v>2561002936</v>
      </c>
      <c r="M428" s="20">
        <f t="shared" si="18"/>
        <v>0.59627996198832989</v>
      </c>
    </row>
    <row r="429" spans="12:13">
      <c r="L429" s="6">
        <f t="shared" si="17"/>
        <v>244173044</v>
      </c>
      <c r="M429" s="20">
        <f t="shared" si="18"/>
        <v>5.685096699744463E-2</v>
      </c>
    </row>
    <row r="430" spans="12:13">
      <c r="L430" s="6">
        <f t="shared" si="17"/>
        <v>2998597377</v>
      </c>
      <c r="M430" s="20">
        <f t="shared" si="18"/>
        <v>0.69816535734571517</v>
      </c>
    </row>
    <row r="431" spans="12:13">
      <c r="L431" s="6">
        <f t="shared" si="17"/>
        <v>3540549288</v>
      </c>
      <c r="M431" s="20">
        <f t="shared" si="18"/>
        <v>0.82434836961328983</v>
      </c>
    </row>
    <row r="432" spans="12:13">
      <c r="L432" s="6">
        <f t="shared" si="17"/>
        <v>2478470436</v>
      </c>
      <c r="M432" s="20">
        <f t="shared" si="18"/>
        <v>0.57706386689096689</v>
      </c>
    </row>
    <row r="433" spans="12:13">
      <c r="L433" s="6">
        <f t="shared" si="17"/>
        <v>2005771632</v>
      </c>
      <c r="M433" s="20">
        <f t="shared" si="18"/>
        <v>0.46700510010123253</v>
      </c>
    </row>
    <row r="434" spans="12:13">
      <c r="L434" s="6">
        <f t="shared" si="17"/>
        <v>1344329036</v>
      </c>
      <c r="M434" s="20">
        <f t="shared" si="18"/>
        <v>0.31300099473446608</v>
      </c>
    </row>
    <row r="435" spans="12:13">
      <c r="L435" s="6">
        <f t="shared" si="17"/>
        <v>513068920</v>
      </c>
      <c r="M435" s="20">
        <f t="shared" si="18"/>
        <v>0.11945816688239574</v>
      </c>
    </row>
    <row r="436" spans="12:13">
      <c r="L436" s="6">
        <f t="shared" si="17"/>
        <v>3056443317</v>
      </c>
      <c r="M436" s="20">
        <f t="shared" si="18"/>
        <v>0.71163366478867829</v>
      </c>
    </row>
    <row r="437" spans="12:13">
      <c r="L437" s="6">
        <f t="shared" si="17"/>
        <v>3262010316</v>
      </c>
      <c r="M437" s="20">
        <f t="shared" si="18"/>
        <v>0.75949596147984266</v>
      </c>
    </row>
    <row r="438" spans="12:13">
      <c r="L438" s="6">
        <f t="shared" si="17"/>
        <v>2020916216</v>
      </c>
      <c r="M438" s="20">
        <f t="shared" si="18"/>
        <v>0.47053122334182262</v>
      </c>
    </row>
    <row r="439" spans="12:13">
      <c r="L439" s="6">
        <f t="shared" si="17"/>
        <v>3963822644</v>
      </c>
      <c r="M439" s="20">
        <f t="shared" si="18"/>
        <v>0.92289937753230333</v>
      </c>
    </row>
    <row r="440" spans="12:13">
      <c r="L440" s="6">
        <f t="shared" si="17"/>
        <v>1942667072</v>
      </c>
      <c r="M440" s="20">
        <f t="shared" si="18"/>
        <v>0.45231242477893829</v>
      </c>
    </row>
    <row r="441" spans="12:13">
      <c r="L441" s="6">
        <f t="shared" si="17"/>
        <v>548091100</v>
      </c>
      <c r="M441" s="20">
        <f t="shared" si="18"/>
        <v>0.12761240359395742</v>
      </c>
    </row>
    <row r="442" spans="12:13">
      <c r="L442" s="6">
        <f t="shared" si="17"/>
        <v>4087118281</v>
      </c>
      <c r="M442" s="20">
        <f t="shared" si="18"/>
        <v>0.9516063800547272</v>
      </c>
    </row>
    <row r="443" spans="12:13">
      <c r="L443" s="6">
        <f t="shared" si="17"/>
        <v>1898678992</v>
      </c>
      <c r="M443" s="20">
        <f t="shared" si="18"/>
        <v>0.44207065179944038</v>
      </c>
    </row>
    <row r="444" spans="12:13">
      <c r="L444" s="6">
        <f t="shared" si="17"/>
        <v>1794267948</v>
      </c>
      <c r="M444" s="20">
        <f t="shared" si="18"/>
        <v>0.41776056122034788</v>
      </c>
    </row>
    <row r="445" spans="12:13">
      <c r="L445" s="6">
        <f t="shared" si="17"/>
        <v>150993880</v>
      </c>
      <c r="M445" s="20">
        <f t="shared" si="18"/>
        <v>3.5156002268195152E-2</v>
      </c>
    </row>
    <row r="446" spans="12:13">
      <c r="L446" s="6">
        <f t="shared" si="17"/>
        <v>1738457237</v>
      </c>
      <c r="M446" s="20">
        <f t="shared" si="18"/>
        <v>0.40476611745543778</v>
      </c>
    </row>
    <row r="447" spans="12:13">
      <c r="L447" s="6">
        <f t="shared" si="17"/>
        <v>277569324</v>
      </c>
      <c r="M447" s="20">
        <f t="shared" si="18"/>
        <v>6.4626644365489483E-2</v>
      </c>
    </row>
    <row r="448" spans="12:13">
      <c r="L448" s="6">
        <f t="shared" si="17"/>
        <v>2644062169</v>
      </c>
      <c r="M448" s="20">
        <f t="shared" si="18"/>
        <v>0.61561869666911662</v>
      </c>
    </row>
    <row r="449" spans="12:13">
      <c r="L449" s="6">
        <f t="shared" si="17"/>
        <v>296360352</v>
      </c>
      <c r="M449" s="20">
        <f t="shared" si="18"/>
        <v>6.9001771509647369E-2</v>
      </c>
    </row>
    <row r="450" spans="12:13">
      <c r="L450" s="6">
        <f t="shared" ref="L450:L513" si="19">MOD($I$13*L449+$J$13,2^32)</f>
        <v>3850939325</v>
      </c>
      <c r="M450" s="20">
        <f t="shared" si="18"/>
        <v>0.89661668171174824</v>
      </c>
    </row>
    <row r="451" spans="12:13">
      <c r="L451" s="6">
        <f t="shared" si="19"/>
        <v>2173147188</v>
      </c>
      <c r="M451" s="20">
        <f t="shared" si="18"/>
        <v>0.50597525853663683</v>
      </c>
    </row>
    <row r="452" spans="12:13">
      <c r="L452" s="6">
        <f t="shared" si="19"/>
        <v>4189240640</v>
      </c>
      <c r="M452" s="20">
        <f t="shared" si="18"/>
        <v>0.97538359463214874</v>
      </c>
    </row>
    <row r="453" spans="12:13">
      <c r="L453" s="6">
        <f t="shared" si="19"/>
        <v>4127791836</v>
      </c>
      <c r="M453" s="20">
        <f t="shared" ref="M453:M516" si="20">L453/2^32</f>
        <v>0.96107643004506826</v>
      </c>
    </row>
    <row r="454" spans="12:13">
      <c r="L454" s="6">
        <f t="shared" si="19"/>
        <v>1191126984</v>
      </c>
      <c r="M454" s="20">
        <f t="shared" si="20"/>
        <v>0.27733086235821247</v>
      </c>
    </row>
    <row r="455" spans="12:13">
      <c r="L455" s="6">
        <f t="shared" si="19"/>
        <v>3283397572</v>
      </c>
      <c r="M455" s="20">
        <f t="shared" si="20"/>
        <v>0.76447557006031275</v>
      </c>
    </row>
    <row r="456" spans="12:13">
      <c r="L456" s="6">
        <f t="shared" si="19"/>
        <v>3913386896</v>
      </c>
      <c r="M456" s="20">
        <f t="shared" si="20"/>
        <v>0.91115638986229897</v>
      </c>
    </row>
    <row r="457" spans="12:13">
      <c r="L457" s="6">
        <f t="shared" si="19"/>
        <v>1909990636</v>
      </c>
      <c r="M457" s="20">
        <f t="shared" si="20"/>
        <v>0.44470434915274382</v>
      </c>
    </row>
    <row r="458" spans="12:13">
      <c r="L458" s="6">
        <f t="shared" si="19"/>
        <v>4035967640</v>
      </c>
      <c r="M458" s="20">
        <f t="shared" si="20"/>
        <v>0.93969694338738918</v>
      </c>
    </row>
    <row r="459" spans="12:13">
      <c r="L459" s="6">
        <f t="shared" si="19"/>
        <v>1514958932</v>
      </c>
      <c r="M459" s="20">
        <f t="shared" si="20"/>
        <v>0.35272886324673891</v>
      </c>
    </row>
    <row r="460" spans="12:13">
      <c r="L460" s="6">
        <f t="shared" si="19"/>
        <v>1616926432</v>
      </c>
      <c r="M460" s="20">
        <f t="shared" si="20"/>
        <v>0.37647002190351486</v>
      </c>
    </row>
    <row r="461" spans="12:13">
      <c r="L461" s="6">
        <f t="shared" si="19"/>
        <v>551028732</v>
      </c>
      <c r="M461" s="20">
        <f t="shared" si="20"/>
        <v>0.12829637434333563</v>
      </c>
    </row>
    <row r="462" spans="12:13">
      <c r="L462" s="6">
        <f t="shared" si="19"/>
        <v>1678299753</v>
      </c>
      <c r="M462" s="20">
        <f t="shared" si="20"/>
        <v>0.39075961173512042</v>
      </c>
    </row>
    <row r="463" spans="12:13">
      <c r="L463" s="6">
        <f t="shared" si="19"/>
        <v>3098880752</v>
      </c>
      <c r="M463" s="20">
        <f t="shared" si="20"/>
        <v>0.72151440009474754</v>
      </c>
    </row>
    <row r="464" spans="12:13">
      <c r="L464" s="6">
        <f t="shared" si="19"/>
        <v>3406175436</v>
      </c>
      <c r="M464" s="20">
        <f t="shared" si="20"/>
        <v>0.79306201916188002</v>
      </c>
    </row>
    <row r="465" spans="12:13">
      <c r="L465" s="6">
        <f t="shared" si="19"/>
        <v>4031181048</v>
      </c>
      <c r="M465" s="20">
        <f t="shared" si="20"/>
        <v>0.93858247809112072</v>
      </c>
    </row>
    <row r="466" spans="12:13">
      <c r="L466" s="6">
        <f t="shared" si="19"/>
        <v>3966292788</v>
      </c>
      <c r="M466" s="20">
        <f t="shared" si="20"/>
        <v>0.92347450274974108</v>
      </c>
    </row>
    <row r="467" spans="12:13">
      <c r="L467" s="6">
        <f t="shared" si="19"/>
        <v>3940138048</v>
      </c>
      <c r="M467" s="20">
        <f t="shared" si="20"/>
        <v>0.91738487780094147</v>
      </c>
    </row>
    <row r="468" spans="12:13">
      <c r="L468" s="6">
        <f t="shared" si="19"/>
        <v>1213140444</v>
      </c>
      <c r="M468" s="20">
        <f t="shared" si="20"/>
        <v>0.28245627041906118</v>
      </c>
    </row>
    <row r="469" spans="12:13">
      <c r="L469" s="6">
        <f t="shared" si="19"/>
        <v>1985707720</v>
      </c>
      <c r="M469" s="20">
        <f t="shared" si="20"/>
        <v>0.46233360655605793</v>
      </c>
    </row>
    <row r="470" spans="12:13">
      <c r="L470" s="6">
        <f t="shared" si="19"/>
        <v>2649233092</v>
      </c>
      <c r="M470" s="20">
        <f t="shared" si="20"/>
        <v>0.61682264599949121</v>
      </c>
    </row>
    <row r="471" spans="12:13">
      <c r="L471" s="6">
        <f t="shared" si="19"/>
        <v>1837431440</v>
      </c>
      <c r="M471" s="20">
        <f t="shared" si="20"/>
        <v>0.42781034484505653</v>
      </c>
    </row>
    <row r="472" spans="12:13">
      <c r="L472" s="6">
        <f t="shared" si="19"/>
        <v>3888105452</v>
      </c>
      <c r="M472" s="20">
        <f t="shared" si="20"/>
        <v>0.90527009498327971</v>
      </c>
    </row>
    <row r="473" spans="12:13">
      <c r="L473" s="6">
        <f t="shared" si="19"/>
        <v>2425504152</v>
      </c>
      <c r="M473" s="20">
        <f t="shared" si="20"/>
        <v>0.56473169289529324</v>
      </c>
    </row>
    <row r="474" spans="12:13">
      <c r="L474" s="6">
        <f t="shared" si="19"/>
        <v>1335692116</v>
      </c>
      <c r="M474" s="20">
        <f t="shared" si="20"/>
        <v>0.3109900550916791</v>
      </c>
    </row>
    <row r="475" spans="12:13">
      <c r="L475" s="6">
        <f t="shared" si="19"/>
        <v>3088004576</v>
      </c>
      <c r="M475" s="20">
        <f t="shared" si="20"/>
        <v>0.71898209303617477</v>
      </c>
    </row>
    <row r="476" spans="12:13">
      <c r="L476" s="6">
        <f t="shared" si="19"/>
        <v>3647232764</v>
      </c>
      <c r="M476" s="20">
        <f t="shared" si="20"/>
        <v>0.84918755199760199</v>
      </c>
    </row>
    <row r="477" spans="12:13">
      <c r="L477" s="6">
        <f t="shared" si="19"/>
        <v>651692392</v>
      </c>
      <c r="M477" s="20">
        <f t="shared" si="20"/>
        <v>0.15173395909368992</v>
      </c>
    </row>
    <row r="478" spans="12:13">
      <c r="L478" s="6">
        <f t="shared" si="19"/>
        <v>1738424549</v>
      </c>
      <c r="M478" s="20">
        <f t="shared" si="20"/>
        <v>0.40475850668735802</v>
      </c>
    </row>
    <row r="479" spans="12:13">
      <c r="L479" s="6">
        <f t="shared" si="19"/>
        <v>1575842620</v>
      </c>
      <c r="M479" s="20">
        <f t="shared" si="20"/>
        <v>0.36690445151180029</v>
      </c>
    </row>
    <row r="480" spans="12:13">
      <c r="L480" s="6">
        <f t="shared" si="19"/>
        <v>3618866344</v>
      </c>
      <c r="M480" s="20">
        <f t="shared" si="20"/>
        <v>0.84258298017084599</v>
      </c>
    </row>
    <row r="481" spans="12:13">
      <c r="L481" s="6">
        <f t="shared" si="19"/>
        <v>3047670564</v>
      </c>
      <c r="M481" s="20">
        <f t="shared" si="20"/>
        <v>0.70959109906107187</v>
      </c>
    </row>
    <row r="482" spans="12:13">
      <c r="L482" s="6">
        <f t="shared" si="19"/>
        <v>2864749424</v>
      </c>
      <c r="M482" s="20">
        <f t="shared" si="20"/>
        <v>0.66700145229697227</v>
      </c>
    </row>
    <row r="483" spans="12:13">
      <c r="L483" s="6">
        <f t="shared" si="19"/>
        <v>4221915980</v>
      </c>
      <c r="M483" s="20">
        <f t="shared" si="20"/>
        <v>0.98299141507595778</v>
      </c>
    </row>
    <row r="484" spans="12:13">
      <c r="L484" s="6">
        <f t="shared" si="19"/>
        <v>56964472</v>
      </c>
      <c r="M484" s="20">
        <f t="shared" si="20"/>
        <v>1.3263074681162834E-2</v>
      </c>
    </row>
    <row r="485" spans="12:13">
      <c r="L485" s="6">
        <f t="shared" si="19"/>
        <v>1189137845</v>
      </c>
      <c r="M485" s="20">
        <f t="shared" si="20"/>
        <v>0.27686772984452546</v>
      </c>
    </row>
    <row r="486" spans="12:13">
      <c r="L486" s="6">
        <f t="shared" si="19"/>
        <v>2634918348</v>
      </c>
      <c r="M486" s="20">
        <f t="shared" si="20"/>
        <v>0.61348973494023085</v>
      </c>
    </row>
    <row r="487" spans="12:13">
      <c r="L487" s="6">
        <f t="shared" si="19"/>
        <v>3831110136</v>
      </c>
      <c r="M487" s="20">
        <f t="shared" si="20"/>
        <v>0.89199983887374401</v>
      </c>
    </row>
    <row r="488" spans="12:13">
      <c r="L488" s="6">
        <f t="shared" si="19"/>
        <v>878635060</v>
      </c>
      <c r="M488" s="20">
        <f t="shared" si="20"/>
        <v>0.20457316655665636</v>
      </c>
    </row>
    <row r="489" spans="12:13">
      <c r="L489" s="6">
        <f t="shared" si="19"/>
        <v>4197567809</v>
      </c>
      <c r="M489" s="20">
        <f t="shared" si="20"/>
        <v>0.97732241475023329</v>
      </c>
    </row>
    <row r="490" spans="12:13">
      <c r="L490" s="6">
        <f t="shared" si="19"/>
        <v>3276578792</v>
      </c>
      <c r="M490" s="20">
        <f t="shared" si="20"/>
        <v>0.76288794912397861</v>
      </c>
    </row>
    <row r="491" spans="12:13">
      <c r="L491" s="6">
        <f t="shared" si="19"/>
        <v>1903322468</v>
      </c>
      <c r="M491" s="20">
        <f t="shared" si="20"/>
        <v>0.44315179530531168</v>
      </c>
    </row>
    <row r="492" spans="12:13">
      <c r="L492" s="6">
        <f t="shared" si="19"/>
        <v>4135721136</v>
      </c>
      <c r="M492" s="20">
        <f t="shared" si="20"/>
        <v>0.96292261406779289</v>
      </c>
    </row>
    <row r="493" spans="12:13">
      <c r="L493" s="6">
        <f t="shared" si="19"/>
        <v>3301371788</v>
      </c>
      <c r="M493" s="20">
        <f t="shared" si="20"/>
        <v>0.76866051834076643</v>
      </c>
    </row>
    <row r="494" spans="12:13">
      <c r="L494" s="6">
        <f t="shared" si="19"/>
        <v>2169726136</v>
      </c>
      <c r="M494" s="20">
        <f t="shared" si="20"/>
        <v>0.50517873279750347</v>
      </c>
    </row>
    <row r="495" spans="12:13">
      <c r="L495" s="6">
        <f t="shared" si="19"/>
        <v>2216784884</v>
      </c>
      <c r="M495" s="20">
        <f t="shared" si="20"/>
        <v>0.51613545138388872</v>
      </c>
    </row>
    <row r="496" spans="12:13">
      <c r="L496" s="6">
        <f t="shared" si="19"/>
        <v>3894519296</v>
      </c>
      <c r="M496" s="20">
        <f t="shared" si="20"/>
        <v>0.90676343441009521</v>
      </c>
    </row>
    <row r="497" spans="12:13">
      <c r="L497" s="6">
        <f t="shared" si="19"/>
        <v>4084903068</v>
      </c>
      <c r="M497" s="20">
        <f t="shared" si="20"/>
        <v>0.95109061058610678</v>
      </c>
    </row>
    <row r="498" spans="12:13">
      <c r="L498" s="6">
        <f t="shared" si="19"/>
        <v>3222294152</v>
      </c>
      <c r="M498" s="20">
        <f t="shared" si="20"/>
        <v>0.75024882145226002</v>
      </c>
    </row>
    <row r="499" spans="12:13">
      <c r="L499" s="6">
        <f t="shared" si="19"/>
        <v>1127834500</v>
      </c>
      <c r="M499" s="20">
        <f t="shared" si="20"/>
        <v>0.26259443257004023</v>
      </c>
    </row>
    <row r="500" spans="12:13">
      <c r="L500" s="6">
        <f t="shared" si="19"/>
        <v>1630117968</v>
      </c>
      <c r="M500" s="20">
        <f t="shared" si="20"/>
        <v>0.37954141572117805</v>
      </c>
    </row>
    <row r="501" spans="12:13">
      <c r="L501" s="6">
        <f t="shared" si="19"/>
        <v>3935105708</v>
      </c>
      <c r="M501" s="20">
        <f t="shared" si="20"/>
        <v>0.91621319483965635</v>
      </c>
    </row>
    <row r="502" spans="12:13">
      <c r="L502" s="6">
        <f t="shared" si="19"/>
        <v>4185337176</v>
      </c>
      <c r="M502" s="20">
        <f t="shared" si="20"/>
        <v>0.97447474859654903</v>
      </c>
    </row>
    <row r="503" spans="12:13">
      <c r="L503" s="6">
        <f t="shared" si="19"/>
        <v>1915470868</v>
      </c>
      <c r="M503" s="20">
        <f t="shared" si="20"/>
        <v>0.44598031509667635</v>
      </c>
    </row>
    <row r="504" spans="12:13">
      <c r="L504" s="6">
        <f t="shared" si="19"/>
        <v>154032032</v>
      </c>
      <c r="M504" s="20">
        <f t="shared" si="20"/>
        <v>3.5863377153873444E-2</v>
      </c>
    </row>
    <row r="505" spans="12:13">
      <c r="L505" s="6">
        <f t="shared" si="19"/>
        <v>3105214909</v>
      </c>
      <c r="M505" s="20">
        <f t="shared" si="20"/>
        <v>0.72298918594606221</v>
      </c>
    </row>
    <row r="506" spans="12:13">
      <c r="L506" s="6">
        <f t="shared" si="19"/>
        <v>3851454004</v>
      </c>
      <c r="M506" s="20">
        <f t="shared" si="20"/>
        <v>0.89673651475459337</v>
      </c>
    </row>
    <row r="507" spans="12:13">
      <c r="L507" s="6">
        <f t="shared" si="19"/>
        <v>1886180160</v>
      </c>
      <c r="M507" s="20">
        <f t="shared" si="20"/>
        <v>0.4391605406999588</v>
      </c>
    </row>
    <row r="508" spans="12:13">
      <c r="L508" s="6">
        <f t="shared" si="19"/>
        <v>2030713052</v>
      </c>
      <c r="M508" s="20">
        <f t="shared" si="20"/>
        <v>0.47281222697347403</v>
      </c>
    </row>
    <row r="509" spans="12:13">
      <c r="L509" s="6">
        <f t="shared" si="19"/>
        <v>2588126664</v>
      </c>
      <c r="M509" s="20">
        <f t="shared" si="20"/>
        <v>0.60259519703686237</v>
      </c>
    </row>
    <row r="510" spans="12:13">
      <c r="L510" s="6">
        <f t="shared" si="19"/>
        <v>3941431748</v>
      </c>
      <c r="M510" s="20">
        <f t="shared" si="20"/>
        <v>0.91768609080463648</v>
      </c>
    </row>
    <row r="511" spans="12:13">
      <c r="L511" s="6">
        <f t="shared" si="19"/>
        <v>1120534928</v>
      </c>
      <c r="M511" s="20">
        <f t="shared" si="20"/>
        <v>0.26089486852288246</v>
      </c>
    </row>
    <row r="512" spans="12:13">
      <c r="L512" s="6">
        <f t="shared" si="19"/>
        <v>53748460</v>
      </c>
      <c r="M512" s="20">
        <f t="shared" si="20"/>
        <v>1.2514288537204266E-2</v>
      </c>
    </row>
    <row r="513" spans="12:13">
      <c r="L513" s="6">
        <f t="shared" si="19"/>
        <v>1590812825</v>
      </c>
      <c r="M513" s="20">
        <f t="shared" si="20"/>
        <v>0.37038997397758067</v>
      </c>
    </row>
    <row r="514" spans="12:13">
      <c r="L514" s="6">
        <f t="shared" ref="L514:L577" si="21">MOD($I$13*L513+$J$13,2^32)</f>
        <v>2781008736</v>
      </c>
      <c r="M514" s="20">
        <f t="shared" si="20"/>
        <v>0.6475040540099144</v>
      </c>
    </row>
    <row r="515" spans="12:13">
      <c r="L515" s="6">
        <f t="shared" si="21"/>
        <v>207542908</v>
      </c>
      <c r="M515" s="20">
        <f t="shared" si="20"/>
        <v>4.8322348855435848E-2</v>
      </c>
    </row>
    <row r="516" spans="12:13">
      <c r="L516" s="6">
        <f t="shared" si="21"/>
        <v>439747305</v>
      </c>
      <c r="M516" s="20">
        <f t="shared" si="20"/>
        <v>0.10238664806820452</v>
      </c>
    </row>
    <row r="517" spans="12:13">
      <c r="L517" s="6">
        <f t="shared" si="21"/>
        <v>4224393586</v>
      </c>
      <c r="M517" s="20">
        <f t="shared" ref="M517:M580" si="22">L517/2^32</f>
        <v>0.98356827767565846</v>
      </c>
    </row>
    <row r="518" spans="12:13">
      <c r="L518" s="6">
        <f t="shared" si="21"/>
        <v>82545508</v>
      </c>
      <c r="M518" s="20">
        <f t="shared" si="22"/>
        <v>1.9219123758375645E-2</v>
      </c>
    </row>
    <row r="519" spans="12:13">
      <c r="L519" s="6">
        <f t="shared" si="21"/>
        <v>4119266993</v>
      </c>
      <c r="M519" s="20">
        <f t="shared" si="22"/>
        <v>0.95909158536233008</v>
      </c>
    </row>
    <row r="520" spans="12:13">
      <c r="L520" s="6">
        <f t="shared" si="21"/>
        <v>1187822232</v>
      </c>
      <c r="M520" s="20">
        <f t="shared" si="22"/>
        <v>0.27656141482293606</v>
      </c>
    </row>
    <row r="521" spans="12:13">
      <c r="L521" s="6">
        <f t="shared" si="21"/>
        <v>4011995220</v>
      </c>
      <c r="M521" s="20">
        <f t="shared" si="22"/>
        <v>0.93411542940884829</v>
      </c>
    </row>
    <row r="522" spans="12:13">
      <c r="L522" s="6">
        <f t="shared" si="21"/>
        <v>1341855456</v>
      </c>
      <c r="M522" s="20">
        <f t="shared" si="22"/>
        <v>0.31242506951093674</v>
      </c>
    </row>
    <row r="523" spans="12:13">
      <c r="L523" s="6">
        <f t="shared" si="21"/>
        <v>4118005756</v>
      </c>
      <c r="M523" s="20">
        <f t="shared" si="22"/>
        <v>0.95879793073982</v>
      </c>
    </row>
    <row r="524" spans="12:13">
      <c r="L524" s="6">
        <f t="shared" si="21"/>
        <v>2394002024</v>
      </c>
      <c r="M524" s="20">
        <f t="shared" si="22"/>
        <v>0.55739703215658665</v>
      </c>
    </row>
    <row r="525" spans="12:13">
      <c r="L525" s="6">
        <f t="shared" si="21"/>
        <v>1921463780</v>
      </c>
      <c r="M525" s="20">
        <f t="shared" si="22"/>
        <v>0.44737564865499735</v>
      </c>
    </row>
    <row r="526" spans="12:13">
      <c r="L526" s="6">
        <f t="shared" si="21"/>
        <v>729493296</v>
      </c>
      <c r="M526" s="20">
        <f t="shared" si="22"/>
        <v>0.16984839364886284</v>
      </c>
    </row>
    <row r="527" spans="12:13">
      <c r="L527" s="6">
        <f t="shared" si="21"/>
        <v>3151336461</v>
      </c>
      <c r="M527" s="20">
        <f t="shared" si="22"/>
        <v>0.73372769658453763</v>
      </c>
    </row>
    <row r="528" spans="12:13">
      <c r="L528" s="6">
        <f t="shared" si="21"/>
        <v>56620100</v>
      </c>
      <c r="M528" s="20">
        <f t="shared" si="22"/>
        <v>1.3182894326746464E-2</v>
      </c>
    </row>
    <row r="529" spans="12:13">
      <c r="L529" s="6">
        <f t="shared" si="21"/>
        <v>917944849</v>
      </c>
      <c r="M529" s="20">
        <f t="shared" si="22"/>
        <v>0.21372569003142416</v>
      </c>
    </row>
    <row r="530" spans="12:13">
      <c r="L530" s="6">
        <f t="shared" si="21"/>
        <v>1286321786</v>
      </c>
      <c r="M530" s="20">
        <f t="shared" si="22"/>
        <v>0.29949512938037515</v>
      </c>
    </row>
    <row r="531" spans="12:13">
      <c r="L531" s="6">
        <f t="shared" si="21"/>
        <v>3635004624</v>
      </c>
      <c r="M531" s="20">
        <f t="shared" si="22"/>
        <v>0.84634046629071236</v>
      </c>
    </row>
    <row r="532" spans="12:13">
      <c r="L532" s="6">
        <f t="shared" si="21"/>
        <v>2975681836</v>
      </c>
      <c r="M532" s="20">
        <f t="shared" si="22"/>
        <v>0.69282991718500853</v>
      </c>
    </row>
    <row r="533" spans="12:13">
      <c r="L533" s="6">
        <f t="shared" si="21"/>
        <v>1200113112</v>
      </c>
      <c r="M533" s="20">
        <f t="shared" si="22"/>
        <v>0.27942310832440853</v>
      </c>
    </row>
    <row r="534" spans="12:13">
      <c r="L534" s="6">
        <f t="shared" si="21"/>
        <v>2799469204</v>
      </c>
      <c r="M534" s="20">
        <f t="shared" si="22"/>
        <v>0.65180221665650606</v>
      </c>
    </row>
    <row r="535" spans="12:13">
      <c r="L535" s="6">
        <f t="shared" si="21"/>
        <v>777552928</v>
      </c>
      <c r="M535" s="20">
        <f t="shared" si="22"/>
        <v>0.18103814870119095</v>
      </c>
    </row>
    <row r="536" spans="12:13">
      <c r="L536" s="6">
        <f t="shared" si="21"/>
        <v>2167444541</v>
      </c>
      <c r="M536" s="20">
        <f t="shared" si="22"/>
        <v>0.50464750756509602</v>
      </c>
    </row>
    <row r="537" spans="12:13">
      <c r="L537" s="6">
        <f t="shared" si="21"/>
        <v>2012276404</v>
      </c>
      <c r="M537" s="20">
        <f t="shared" si="22"/>
        <v>0.4685196103528142</v>
      </c>
    </row>
    <row r="538" spans="12:13">
      <c r="L538" s="6">
        <f t="shared" si="21"/>
        <v>3809229248</v>
      </c>
      <c r="M538" s="20">
        <f t="shared" si="22"/>
        <v>0.88690529763698578</v>
      </c>
    </row>
    <row r="539" spans="12:13">
      <c r="L539" s="6">
        <f t="shared" si="21"/>
        <v>3625643356</v>
      </c>
      <c r="M539" s="20">
        <f t="shared" si="22"/>
        <v>0.84416087623685598</v>
      </c>
    </row>
    <row r="540" spans="12:13">
      <c r="L540" s="6">
        <f t="shared" si="21"/>
        <v>3376109640</v>
      </c>
      <c r="M540" s="20">
        <f t="shared" si="22"/>
        <v>0.78606178052723408</v>
      </c>
    </row>
    <row r="541" spans="12:13">
      <c r="L541" s="6">
        <f t="shared" si="21"/>
        <v>4270694980</v>
      </c>
      <c r="M541" s="20">
        <f t="shared" si="22"/>
        <v>0.99434866104274988</v>
      </c>
    </row>
    <row r="542" spans="12:13">
      <c r="L542" s="6">
        <f t="shared" si="21"/>
        <v>2517536784</v>
      </c>
      <c r="M542" s="20">
        <f t="shared" si="22"/>
        <v>0.58615970984101295</v>
      </c>
    </row>
    <row r="543" spans="12:13">
      <c r="L543" s="6">
        <f t="shared" si="21"/>
        <v>1743773548</v>
      </c>
      <c r="M543" s="20">
        <f t="shared" si="22"/>
        <v>0.40600391756743193</v>
      </c>
    </row>
    <row r="544" spans="12:13">
      <c r="L544" s="6">
        <f t="shared" si="21"/>
        <v>3156275992</v>
      </c>
      <c r="M544" s="20">
        <f t="shared" si="22"/>
        <v>0.73487777076661587</v>
      </c>
    </row>
    <row r="545" spans="12:13">
      <c r="L545" s="6">
        <f t="shared" si="21"/>
        <v>2010877652</v>
      </c>
      <c r="M545" s="20">
        <f t="shared" si="22"/>
        <v>0.46819393802434206</v>
      </c>
    </row>
    <row r="546" spans="12:13">
      <c r="L546" s="6">
        <f t="shared" si="21"/>
        <v>850748256</v>
      </c>
      <c r="M546" s="20">
        <f t="shared" si="22"/>
        <v>0.19808026403188705</v>
      </c>
    </row>
    <row r="547" spans="12:13">
      <c r="L547" s="6">
        <f t="shared" si="21"/>
        <v>612379261</v>
      </c>
      <c r="M547" s="20">
        <f t="shared" si="22"/>
        <v>0.14258065749891102</v>
      </c>
    </row>
    <row r="548" spans="12:13">
      <c r="L548" s="6">
        <f t="shared" si="21"/>
        <v>2448869366</v>
      </c>
      <c r="M548" s="20">
        <f t="shared" si="22"/>
        <v>0.57017183071002364</v>
      </c>
    </row>
    <row r="549" spans="12:13">
      <c r="L549" s="6">
        <f t="shared" si="21"/>
        <v>492459036</v>
      </c>
      <c r="M549" s="20">
        <f t="shared" si="22"/>
        <v>0.11465955432504416</v>
      </c>
    </row>
    <row r="550" spans="12:13">
      <c r="L550" s="6">
        <f t="shared" si="21"/>
        <v>442060809</v>
      </c>
      <c r="M550" s="20">
        <f t="shared" si="22"/>
        <v>0.10292530269362032</v>
      </c>
    </row>
    <row r="551" spans="12:13">
      <c r="L551" s="6">
        <f t="shared" si="21"/>
        <v>905817106</v>
      </c>
      <c r="M551" s="20">
        <f t="shared" si="22"/>
        <v>0.21090197982266545</v>
      </c>
    </row>
    <row r="552" spans="12:13">
      <c r="L552" s="6">
        <f t="shared" si="21"/>
        <v>2061481351</v>
      </c>
      <c r="M552" s="20">
        <f t="shared" si="22"/>
        <v>0.47997602983377874</v>
      </c>
    </row>
    <row r="553" spans="12:13">
      <c r="L553" s="6">
        <f t="shared" si="21"/>
        <v>2081745272</v>
      </c>
      <c r="M553" s="20">
        <f t="shared" si="22"/>
        <v>0.4846940916031599</v>
      </c>
    </row>
    <row r="554" spans="12:13">
      <c r="L554" s="6">
        <f t="shared" si="21"/>
        <v>3994087860</v>
      </c>
      <c r="M554" s="20">
        <f t="shared" si="22"/>
        <v>0.92994604725390673</v>
      </c>
    </row>
    <row r="555" spans="12:13">
      <c r="L555" s="6">
        <f t="shared" si="21"/>
        <v>4285778112</v>
      </c>
      <c r="M555" s="20">
        <f t="shared" si="22"/>
        <v>0.99786047637462616</v>
      </c>
    </row>
    <row r="556" spans="12:13">
      <c r="L556" s="6">
        <f t="shared" si="21"/>
        <v>1920479324</v>
      </c>
      <c r="M556" s="20">
        <f t="shared" si="22"/>
        <v>0.44714643713086843</v>
      </c>
    </row>
    <row r="557" spans="12:13">
      <c r="L557" s="6">
        <f t="shared" si="21"/>
        <v>3445014344</v>
      </c>
      <c r="M557" s="20">
        <f t="shared" si="22"/>
        <v>0.80210490711033344</v>
      </c>
    </row>
    <row r="558" spans="12:13">
      <c r="L558" s="6">
        <f t="shared" si="21"/>
        <v>2898582852</v>
      </c>
      <c r="M558" s="20">
        <f t="shared" si="22"/>
        <v>0.67487891111522913</v>
      </c>
    </row>
    <row r="559" spans="12:13">
      <c r="L559" s="6">
        <f t="shared" si="21"/>
        <v>3230895888</v>
      </c>
      <c r="M559" s="20">
        <f t="shared" si="22"/>
        <v>0.75225156918168068</v>
      </c>
    </row>
    <row r="560" spans="12:13">
      <c r="L560" s="6">
        <f t="shared" si="21"/>
        <v>435933804</v>
      </c>
      <c r="M560" s="20">
        <f t="shared" si="22"/>
        <v>0.10149874817579985</v>
      </c>
    </row>
    <row r="561" spans="12:13">
      <c r="L561" s="6">
        <f t="shared" si="21"/>
        <v>3331017241</v>
      </c>
      <c r="M561" s="20">
        <f t="shared" si="22"/>
        <v>0.77556288824416697</v>
      </c>
    </row>
    <row r="562" spans="12:13">
      <c r="L562" s="6">
        <f t="shared" si="21"/>
        <v>1480896224</v>
      </c>
      <c r="M562" s="20">
        <f t="shared" si="22"/>
        <v>0.3447980210185051</v>
      </c>
    </row>
    <row r="563" spans="12:13">
      <c r="L563" s="6">
        <f t="shared" si="21"/>
        <v>3517480956</v>
      </c>
      <c r="M563" s="20">
        <f t="shared" si="22"/>
        <v>0.81897735502570868</v>
      </c>
    </row>
    <row r="564" spans="12:13">
      <c r="L564" s="6">
        <f t="shared" si="21"/>
        <v>1266084456</v>
      </c>
      <c r="M564" s="20">
        <f t="shared" si="22"/>
        <v>0.29478325881063938</v>
      </c>
    </row>
    <row r="565" spans="12:13">
      <c r="L565" s="6">
        <f t="shared" si="21"/>
        <v>935636452</v>
      </c>
      <c r="M565" s="20">
        <f t="shared" si="22"/>
        <v>0.2178448373451829</v>
      </c>
    </row>
    <row r="566" spans="12:13">
      <c r="L566" s="6">
        <f t="shared" si="21"/>
        <v>762464049</v>
      </c>
      <c r="M566" s="20">
        <f t="shared" si="22"/>
        <v>0.17752499529160559</v>
      </c>
    </row>
    <row r="567" spans="12:13">
      <c r="L567" s="6">
        <f t="shared" si="21"/>
        <v>1910079770</v>
      </c>
      <c r="M567" s="20">
        <f t="shared" si="22"/>
        <v>0.44472510227933526</v>
      </c>
    </row>
    <row r="568" spans="12:13">
      <c r="L568" s="6">
        <f t="shared" si="21"/>
        <v>2711629552</v>
      </c>
      <c r="M568" s="20">
        <f t="shared" si="22"/>
        <v>0.63135045394301414</v>
      </c>
    </row>
    <row r="569" spans="12:13">
      <c r="L569" s="6">
        <f t="shared" si="21"/>
        <v>3301527756</v>
      </c>
      <c r="M569" s="20">
        <f t="shared" si="22"/>
        <v>0.76869683247059584</v>
      </c>
    </row>
    <row r="570" spans="12:13">
      <c r="L570" s="6">
        <f t="shared" si="21"/>
        <v>1861522680</v>
      </c>
      <c r="M570" s="20">
        <f t="shared" si="22"/>
        <v>0.43341952376067638</v>
      </c>
    </row>
    <row r="571" spans="12:13">
      <c r="L571" s="6">
        <f t="shared" si="21"/>
        <v>2083399476</v>
      </c>
      <c r="M571" s="20">
        <f t="shared" si="22"/>
        <v>0.48507924098521471</v>
      </c>
    </row>
    <row r="572" spans="12:13">
      <c r="L572" s="6">
        <f t="shared" si="21"/>
        <v>1749221440</v>
      </c>
      <c r="M572" s="20">
        <f t="shared" si="22"/>
        <v>0.40727235376834869</v>
      </c>
    </row>
    <row r="573" spans="12:13">
      <c r="L573" s="6">
        <f t="shared" si="21"/>
        <v>3485172188</v>
      </c>
      <c r="M573" s="20">
        <f t="shared" si="22"/>
        <v>0.81145488377660513</v>
      </c>
    </row>
    <row r="574" spans="12:13">
      <c r="L574" s="6">
        <f t="shared" si="21"/>
        <v>2430689992</v>
      </c>
      <c r="M574" s="20">
        <f t="shared" si="22"/>
        <v>0.56593911536037922</v>
      </c>
    </row>
    <row r="575" spans="12:13">
      <c r="L575" s="6">
        <f t="shared" si="21"/>
        <v>3169364676</v>
      </c>
      <c r="M575" s="20">
        <f t="shared" si="22"/>
        <v>0.73792521748691797</v>
      </c>
    </row>
    <row r="576" spans="12:13">
      <c r="L576" s="6">
        <f t="shared" si="21"/>
        <v>3576725136</v>
      </c>
      <c r="M576" s="20">
        <f t="shared" si="22"/>
        <v>0.83277121558785439</v>
      </c>
    </row>
    <row r="577" spans="12:13">
      <c r="L577" s="6">
        <f t="shared" si="21"/>
        <v>3955850220</v>
      </c>
      <c r="M577" s="20">
        <f t="shared" si="22"/>
        <v>0.92104315292090178</v>
      </c>
    </row>
    <row r="578" spans="12:13">
      <c r="L578" s="6">
        <f t="shared" ref="L578:L606" si="23">MOD($I$13*L577+$J$13,2^32)</f>
        <v>3981731224</v>
      </c>
      <c r="M578" s="20">
        <f t="shared" si="22"/>
        <v>0.92706904374063015</v>
      </c>
    </row>
    <row r="579" spans="12:13">
      <c r="L579" s="6">
        <f t="shared" si="23"/>
        <v>619503444</v>
      </c>
      <c r="M579" s="20">
        <f t="shared" si="22"/>
        <v>0.14423938561230898</v>
      </c>
    </row>
    <row r="580" spans="12:13">
      <c r="L580" s="6">
        <f t="shared" si="23"/>
        <v>704707041</v>
      </c>
      <c r="M580" s="20">
        <f t="shared" si="22"/>
        <v>0.16407739394344389</v>
      </c>
    </row>
    <row r="581" spans="12:13">
      <c r="L581" s="6">
        <f t="shared" si="23"/>
        <v>3468624906</v>
      </c>
      <c r="M581" s="20">
        <f t="shared" ref="M581:M644" si="24">L581/2^32</f>
        <v>0.80760216945782304</v>
      </c>
    </row>
    <row r="582" spans="12:13">
      <c r="L582" s="6">
        <f t="shared" si="23"/>
        <v>2481685788</v>
      </c>
      <c r="M582" s="20">
        <f t="shared" si="24"/>
        <v>0.57781249936670065</v>
      </c>
    </row>
    <row r="583" spans="12:13">
      <c r="L583" s="6">
        <f t="shared" si="23"/>
        <v>375246088</v>
      </c>
      <c r="M583" s="20">
        <f t="shared" si="24"/>
        <v>8.7368788197636604E-2</v>
      </c>
    </row>
    <row r="584" spans="12:13">
      <c r="L584" s="6">
        <f t="shared" si="23"/>
        <v>823742469</v>
      </c>
      <c r="M584" s="20">
        <f t="shared" si="24"/>
        <v>0.19179248926229775</v>
      </c>
    </row>
    <row r="585" spans="12:13">
      <c r="L585" s="6">
        <f t="shared" si="23"/>
        <v>465491934</v>
      </c>
      <c r="M585" s="20">
        <f t="shared" si="24"/>
        <v>0.1083807866089046</v>
      </c>
    </row>
    <row r="586" spans="12:13">
      <c r="L586" s="6">
        <f t="shared" si="23"/>
        <v>1943677667</v>
      </c>
      <c r="M586" s="20">
        <f t="shared" si="24"/>
        <v>0.45254772226326168</v>
      </c>
    </row>
    <row r="587" spans="12:13">
      <c r="L587" s="6">
        <f t="shared" si="23"/>
        <v>1852500772</v>
      </c>
      <c r="M587" s="20">
        <f t="shared" si="24"/>
        <v>0.43131894711405039</v>
      </c>
    </row>
    <row r="588" spans="12:13">
      <c r="L588" s="6">
        <f t="shared" si="23"/>
        <v>3757155184</v>
      </c>
      <c r="M588" s="20">
        <f t="shared" si="24"/>
        <v>0.87478085979819298</v>
      </c>
    </row>
    <row r="589" spans="12:13">
      <c r="L589" s="6">
        <f t="shared" si="23"/>
        <v>1372240716</v>
      </c>
      <c r="M589" s="20">
        <f t="shared" si="24"/>
        <v>0.31949968915432692</v>
      </c>
    </row>
    <row r="590" spans="12:13">
      <c r="L590" s="6">
        <f t="shared" si="23"/>
        <v>1842576760</v>
      </c>
      <c r="M590" s="20">
        <f t="shared" si="24"/>
        <v>0.42900833301246166</v>
      </c>
    </row>
    <row r="591" spans="12:13">
      <c r="L591" s="6">
        <f t="shared" si="23"/>
        <v>1600288180</v>
      </c>
      <c r="M591" s="20">
        <f t="shared" si="24"/>
        <v>0.37259612698107958</v>
      </c>
    </row>
    <row r="592" spans="12:13">
      <c r="L592" s="6">
        <f t="shared" si="23"/>
        <v>3739974848</v>
      </c>
      <c r="M592" s="20">
        <f t="shared" si="24"/>
        <v>0.87078075110912323</v>
      </c>
    </row>
    <row r="593" spans="12:13">
      <c r="L593" s="6">
        <f t="shared" si="23"/>
        <v>3117438044</v>
      </c>
      <c r="M593" s="20">
        <f t="shared" si="24"/>
        <v>0.72583510633558035</v>
      </c>
    </row>
    <row r="594" spans="12:13">
      <c r="L594" s="6">
        <f t="shared" si="23"/>
        <v>2588185416</v>
      </c>
      <c r="M594" s="20">
        <f t="shared" si="24"/>
        <v>0.60260887630283833</v>
      </c>
    </row>
    <row r="595" spans="12:13">
      <c r="L595" s="6">
        <f t="shared" si="23"/>
        <v>1740415300</v>
      </c>
      <c r="M595" s="20">
        <f t="shared" si="24"/>
        <v>0.40522201452404261</v>
      </c>
    </row>
    <row r="596" spans="12:13">
      <c r="L596" s="6">
        <f t="shared" si="23"/>
        <v>2830926608</v>
      </c>
      <c r="M596" s="20">
        <f t="shared" si="24"/>
        <v>0.65912646427750587</v>
      </c>
    </row>
    <row r="597" spans="12:13">
      <c r="L597" s="6">
        <f t="shared" si="23"/>
        <v>3834918508</v>
      </c>
      <c r="M597" s="20">
        <f t="shared" si="24"/>
        <v>0.89288654457777739</v>
      </c>
    </row>
    <row r="598" spans="12:13">
      <c r="L598" s="6">
        <f t="shared" si="23"/>
        <v>1794924056</v>
      </c>
      <c r="M598" s="20">
        <f t="shared" si="24"/>
        <v>0.41791332326829433</v>
      </c>
    </row>
    <row r="599" spans="12:13">
      <c r="L599" s="6">
        <f t="shared" si="23"/>
        <v>2426863060</v>
      </c>
      <c r="M599" s="20">
        <f t="shared" si="24"/>
        <v>0.56504808831959963</v>
      </c>
    </row>
    <row r="600" spans="12:13">
      <c r="L600" s="6">
        <f t="shared" si="23"/>
        <v>1535444576</v>
      </c>
      <c r="M600" s="20">
        <f t="shared" si="24"/>
        <v>0.35749854892492294</v>
      </c>
    </row>
    <row r="601" spans="12:13">
      <c r="L601" s="6">
        <f t="shared" si="23"/>
        <v>3796529532</v>
      </c>
      <c r="M601" s="20">
        <f t="shared" si="24"/>
        <v>0.88394841458648443</v>
      </c>
    </row>
    <row r="602" spans="12:13">
      <c r="L602" s="6">
        <f t="shared" si="23"/>
        <v>1911533032</v>
      </c>
      <c r="M602" s="20">
        <f t="shared" si="24"/>
        <v>0.44506346620619297</v>
      </c>
    </row>
    <row r="603" spans="12:13">
      <c r="L603" s="6">
        <f t="shared" si="23"/>
        <v>2325748580</v>
      </c>
      <c r="M603" s="20">
        <f t="shared" si="24"/>
        <v>0.5415055388584733</v>
      </c>
    </row>
    <row r="604" spans="12:13">
      <c r="L604" s="6">
        <f t="shared" si="23"/>
        <v>3649197744</v>
      </c>
      <c r="M604" s="20">
        <f t="shared" si="24"/>
        <v>0.84964505955576897</v>
      </c>
    </row>
    <row r="605" spans="12:13">
      <c r="L605" s="6">
        <f t="shared" si="23"/>
        <v>966792588</v>
      </c>
      <c r="M605" s="20">
        <f t="shared" si="24"/>
        <v>0.22509894054383039</v>
      </c>
    </row>
    <row r="606" spans="12:13">
      <c r="L606" s="6">
        <f t="shared" si="23"/>
        <v>3526906553</v>
      </c>
      <c r="M606" s="20">
        <f t="shared" si="24"/>
        <v>0.82117192284204066</v>
      </c>
    </row>
    <row r="607" spans="12:13">
      <c r="L607" s="6">
        <f t="shared" ref="L607:L670" si="25">MOD($I$13*L606+$J$13,2^32)</f>
        <v>2391228160</v>
      </c>
      <c r="M607" s="20">
        <f t="shared" si="24"/>
        <v>0.55675119161605835</v>
      </c>
    </row>
    <row r="608" spans="12:13">
      <c r="L608" s="6">
        <f t="shared" si="25"/>
        <v>584085916</v>
      </c>
      <c r="M608" s="20">
        <f t="shared" si="24"/>
        <v>0.13599309977144003</v>
      </c>
    </row>
    <row r="609" spans="12:13">
      <c r="L609" s="6">
        <f t="shared" si="25"/>
        <v>2259963785</v>
      </c>
      <c r="M609" s="20">
        <f t="shared" si="24"/>
        <v>0.52618882269598544</v>
      </c>
    </row>
    <row r="610" spans="12:13">
      <c r="L610" s="6">
        <f t="shared" si="25"/>
        <v>3452052880</v>
      </c>
      <c r="M610" s="20">
        <f t="shared" si="24"/>
        <v>0.80374369397759438</v>
      </c>
    </row>
    <row r="611" spans="12:13">
      <c r="L611" s="6">
        <f t="shared" si="25"/>
        <v>1598158572</v>
      </c>
      <c r="M611" s="20">
        <f t="shared" si="24"/>
        <v>0.37210028897970915</v>
      </c>
    </row>
    <row r="612" spans="12:13">
      <c r="L612" s="6">
        <f t="shared" si="25"/>
        <v>4268336280</v>
      </c>
      <c r="M612" s="20">
        <f t="shared" si="24"/>
        <v>0.9937994834035635</v>
      </c>
    </row>
    <row r="613" spans="12:13">
      <c r="L613" s="6">
        <f t="shared" si="25"/>
        <v>1233916500</v>
      </c>
      <c r="M613" s="20">
        <f t="shared" si="24"/>
        <v>0.28729357291013002</v>
      </c>
    </row>
    <row r="614" spans="12:13">
      <c r="L614" s="6">
        <f t="shared" si="25"/>
        <v>3794112736</v>
      </c>
      <c r="M614" s="20">
        <f t="shared" si="24"/>
        <v>0.88338571041822433</v>
      </c>
    </row>
    <row r="615" spans="12:13">
      <c r="L615" s="6">
        <f t="shared" si="25"/>
        <v>4024302076</v>
      </c>
      <c r="M615" s="20">
        <f t="shared" si="24"/>
        <v>0.93698084261268377</v>
      </c>
    </row>
    <row r="616" spans="12:13">
      <c r="L616" s="6">
        <f t="shared" si="25"/>
        <v>695213160</v>
      </c>
      <c r="M616" s="20">
        <f t="shared" si="24"/>
        <v>0.16186692751944065</v>
      </c>
    </row>
    <row r="617" spans="12:13">
      <c r="L617" s="6">
        <f t="shared" si="25"/>
        <v>2076588005</v>
      </c>
      <c r="M617" s="20">
        <f t="shared" si="24"/>
        <v>0.48349332180805504</v>
      </c>
    </row>
    <row r="618" spans="12:13">
      <c r="L618" s="6">
        <f t="shared" si="25"/>
        <v>781712956</v>
      </c>
      <c r="M618" s="20">
        <f t="shared" si="24"/>
        <v>0.18200673069804907</v>
      </c>
    </row>
    <row r="619" spans="12:13">
      <c r="L619" s="6">
        <f t="shared" si="25"/>
        <v>4188246953</v>
      </c>
      <c r="M619" s="20">
        <f t="shared" si="24"/>
        <v>0.97515223384834826</v>
      </c>
    </row>
    <row r="620" spans="12:13">
      <c r="L620" s="6">
        <f t="shared" si="25"/>
        <v>2599631664</v>
      </c>
      <c r="M620" s="20">
        <f t="shared" si="24"/>
        <v>0.60527391359210014</v>
      </c>
    </row>
    <row r="621" spans="12:13">
      <c r="L621" s="6">
        <f t="shared" si="25"/>
        <v>963260428</v>
      </c>
      <c r="M621" s="20">
        <f t="shared" si="24"/>
        <v>0.22427654545754194</v>
      </c>
    </row>
    <row r="622" spans="12:13">
      <c r="L622" s="6">
        <f t="shared" si="25"/>
        <v>3652725561</v>
      </c>
      <c r="M622" s="20">
        <f t="shared" si="24"/>
        <v>0.85046644345857203</v>
      </c>
    </row>
    <row r="623" spans="12:13">
      <c r="L623" s="6">
        <f t="shared" si="25"/>
        <v>3147283840</v>
      </c>
      <c r="M623" s="20">
        <f t="shared" si="24"/>
        <v>0.73278412222862244</v>
      </c>
    </row>
    <row r="624" spans="12:13">
      <c r="L624" s="6">
        <f t="shared" si="25"/>
        <v>3617021468</v>
      </c>
      <c r="M624" s="20">
        <f t="shared" si="24"/>
        <v>0.84215343650430441</v>
      </c>
    </row>
    <row r="625" spans="12:13">
      <c r="L625" s="6">
        <f t="shared" si="25"/>
        <v>2911162888</v>
      </c>
      <c r="M625" s="20">
        <f t="shared" si="24"/>
        <v>0.67780792899429798</v>
      </c>
    </row>
    <row r="626" spans="12:13">
      <c r="L626" s="6">
        <f t="shared" si="25"/>
        <v>4020080900</v>
      </c>
      <c r="M626" s="20">
        <f t="shared" si="24"/>
        <v>0.93599802348762751</v>
      </c>
    </row>
    <row r="627" spans="12:13">
      <c r="L627" s="6">
        <f t="shared" si="25"/>
        <v>2297130960</v>
      </c>
      <c r="M627" s="20">
        <f t="shared" si="24"/>
        <v>0.53484247997403145</v>
      </c>
    </row>
    <row r="628" spans="12:13">
      <c r="L628" s="6">
        <f t="shared" si="25"/>
        <v>3885628460</v>
      </c>
      <c r="M628" s="20">
        <f t="shared" si="24"/>
        <v>0.90469337534159422</v>
      </c>
    </row>
    <row r="629" spans="12:13">
      <c r="L629" s="6">
        <f t="shared" si="25"/>
        <v>3243780312</v>
      </c>
      <c r="M629" s="20">
        <f t="shared" si="24"/>
        <v>0.75525145791471004</v>
      </c>
    </row>
    <row r="630" spans="12:13">
      <c r="L630" s="6">
        <f t="shared" si="25"/>
        <v>1860831636</v>
      </c>
      <c r="M630" s="20">
        <f t="shared" si="24"/>
        <v>0.43325862754136324</v>
      </c>
    </row>
    <row r="631" spans="12:13">
      <c r="L631" s="6">
        <f t="shared" si="25"/>
        <v>3766181664</v>
      </c>
      <c r="M631" s="20">
        <f t="shared" si="24"/>
        <v>0.87688250094652176</v>
      </c>
    </row>
    <row r="632" spans="12:13">
      <c r="L632" s="6">
        <f t="shared" si="25"/>
        <v>3603739452</v>
      </c>
      <c r="M632" s="20">
        <f t="shared" si="24"/>
        <v>0.83906097617000341</v>
      </c>
    </row>
    <row r="633" spans="12:13">
      <c r="L633" s="6">
        <f t="shared" si="25"/>
        <v>2471085224</v>
      </c>
      <c r="M633" s="20">
        <f t="shared" si="24"/>
        <v>0.57534436322748661</v>
      </c>
    </row>
    <row r="634" spans="12:13">
      <c r="L634" s="6">
        <f t="shared" si="25"/>
        <v>931726116</v>
      </c>
      <c r="M634" s="20">
        <f t="shared" si="24"/>
        <v>0.2169343912974</v>
      </c>
    </row>
    <row r="635" spans="12:13">
      <c r="L635" s="6">
        <f t="shared" si="25"/>
        <v>1165024113</v>
      </c>
      <c r="M635" s="20">
        <f t="shared" si="24"/>
        <v>0.27125331410206854</v>
      </c>
    </row>
    <row r="636" spans="12:13">
      <c r="L636" s="6">
        <f t="shared" si="25"/>
        <v>878200920</v>
      </c>
      <c r="M636" s="20">
        <f t="shared" si="24"/>
        <v>0.20447208546102047</v>
      </c>
    </row>
    <row r="637" spans="12:13">
      <c r="L637" s="6">
        <f t="shared" si="25"/>
        <v>4239467285</v>
      </c>
      <c r="M637" s="20">
        <f t="shared" si="24"/>
        <v>0.98707789671607316</v>
      </c>
    </row>
    <row r="638" spans="12:13">
      <c r="L638" s="6">
        <f t="shared" si="25"/>
        <v>2141118380</v>
      </c>
      <c r="M638" s="20">
        <f t="shared" si="24"/>
        <v>0.49851797055453062</v>
      </c>
    </row>
    <row r="639" spans="12:13">
      <c r="L639" s="6">
        <f t="shared" si="25"/>
        <v>3404805720</v>
      </c>
      <c r="M639" s="20">
        <f t="shared" si="24"/>
        <v>0.79274310730397701</v>
      </c>
    </row>
    <row r="640" spans="12:13">
      <c r="L640" s="6">
        <f t="shared" si="25"/>
        <v>3569039636</v>
      </c>
      <c r="M640" s="20">
        <f t="shared" si="24"/>
        <v>0.83098179567605257</v>
      </c>
    </row>
    <row r="641" spans="12:13">
      <c r="L641" s="6">
        <f t="shared" si="25"/>
        <v>2200979616</v>
      </c>
      <c r="M641" s="20">
        <f t="shared" si="24"/>
        <v>0.51245550066232681</v>
      </c>
    </row>
    <row r="642" spans="12:13">
      <c r="L642" s="6">
        <f t="shared" si="25"/>
        <v>3650358972</v>
      </c>
      <c r="M642" s="20">
        <f t="shared" si="24"/>
        <v>0.84991542901843786</v>
      </c>
    </row>
    <row r="643" spans="12:13">
      <c r="L643" s="6">
        <f t="shared" si="25"/>
        <v>261810728</v>
      </c>
      <c r="M643" s="20">
        <f t="shared" si="24"/>
        <v>6.0957560315728188E-2</v>
      </c>
    </row>
    <row r="644" spans="12:13">
      <c r="L644" s="6">
        <f t="shared" si="25"/>
        <v>2175494821</v>
      </c>
      <c r="M644" s="20">
        <f t="shared" si="24"/>
        <v>0.50652185943908989</v>
      </c>
    </row>
    <row r="645" spans="12:13">
      <c r="L645" s="6">
        <f t="shared" si="25"/>
        <v>3042791932</v>
      </c>
      <c r="M645" s="20">
        <f t="shared" ref="M645:M708" si="26">L645/2^32</f>
        <v>0.70845520403236151</v>
      </c>
    </row>
    <row r="646" spans="12:13">
      <c r="L646" s="6">
        <f t="shared" si="25"/>
        <v>3793720424</v>
      </c>
      <c r="M646" s="20">
        <f t="shared" si="26"/>
        <v>0.8832943681627512</v>
      </c>
    </row>
    <row r="647" spans="12:13">
      <c r="L647" s="6">
        <f t="shared" si="25"/>
        <v>1955024868</v>
      </c>
      <c r="M647" s="20">
        <f t="shared" si="26"/>
        <v>0.45518969837576151</v>
      </c>
    </row>
    <row r="648" spans="12:13">
      <c r="L648" s="6">
        <f t="shared" si="25"/>
        <v>1037992240</v>
      </c>
      <c r="M648" s="20">
        <f t="shared" si="26"/>
        <v>0.24167640134692192</v>
      </c>
    </row>
    <row r="649" spans="12:13">
      <c r="L649" s="6">
        <f t="shared" si="25"/>
        <v>2447031821</v>
      </c>
      <c r="M649" s="20">
        <f t="shared" si="26"/>
        <v>0.56974399392493069</v>
      </c>
    </row>
    <row r="650" spans="12:13">
      <c r="L650" s="6">
        <f t="shared" si="25"/>
        <v>1582634564</v>
      </c>
      <c r="M650" s="20">
        <f t="shared" si="26"/>
        <v>0.36848582420498133</v>
      </c>
    </row>
    <row r="651" spans="12:13">
      <c r="L651" s="6">
        <f t="shared" si="25"/>
        <v>70480912</v>
      </c>
      <c r="M651" s="20">
        <f t="shared" si="26"/>
        <v>1.6410116106271744E-2</v>
      </c>
    </row>
    <row r="652" spans="12:13">
      <c r="L652" s="6">
        <f t="shared" si="25"/>
        <v>822309741</v>
      </c>
      <c r="M652" s="20">
        <f t="shared" si="26"/>
        <v>0.19145890627987683</v>
      </c>
    </row>
    <row r="653" spans="12:13">
      <c r="L653" s="6">
        <f t="shared" si="25"/>
        <v>910371878</v>
      </c>
      <c r="M653" s="20">
        <f t="shared" si="26"/>
        <v>0.21196247031912208</v>
      </c>
    </row>
    <row r="654" spans="12:13">
      <c r="L654" s="6">
        <f t="shared" si="25"/>
        <v>736189067</v>
      </c>
      <c r="M654" s="20">
        <f t="shared" si="26"/>
        <v>0.17140737432055175</v>
      </c>
    </row>
    <row r="655" spans="12:13">
      <c r="L655" s="6">
        <f t="shared" si="25"/>
        <v>2144476844</v>
      </c>
      <c r="M655" s="20">
        <f t="shared" si="26"/>
        <v>0.49929992388933897</v>
      </c>
    </row>
    <row r="656" spans="12:13">
      <c r="L656" s="6">
        <f t="shared" si="25"/>
        <v>1242982744</v>
      </c>
      <c r="M656" s="20">
        <f t="shared" si="26"/>
        <v>0.28940447233617306</v>
      </c>
    </row>
    <row r="657" spans="12:13">
      <c r="L657" s="6">
        <f t="shared" si="25"/>
        <v>3819819028</v>
      </c>
      <c r="M657" s="20">
        <f t="shared" si="26"/>
        <v>0.88937092293053865</v>
      </c>
    </row>
    <row r="658" spans="12:13">
      <c r="L658" s="6">
        <f t="shared" si="25"/>
        <v>3007640480</v>
      </c>
      <c r="M658" s="20">
        <f t="shared" si="26"/>
        <v>0.7002708688378334</v>
      </c>
    </row>
    <row r="659" spans="12:13">
      <c r="L659" s="6">
        <f t="shared" si="25"/>
        <v>3163012540</v>
      </c>
      <c r="M659" s="20">
        <f t="shared" si="26"/>
        <v>0.73644624557346106</v>
      </c>
    </row>
    <row r="660" spans="12:13">
      <c r="L660" s="6">
        <f t="shared" si="25"/>
        <v>2981481768</v>
      </c>
      <c r="M660" s="20">
        <f t="shared" si="26"/>
        <v>0.6941803190857172</v>
      </c>
    </row>
    <row r="661" spans="12:13">
      <c r="L661" s="6">
        <f t="shared" si="25"/>
        <v>1552413092</v>
      </c>
      <c r="M661" s="20">
        <f t="shared" si="26"/>
        <v>0.36144933942705393</v>
      </c>
    </row>
    <row r="662" spans="12:13">
      <c r="L662" s="6">
        <f t="shared" si="25"/>
        <v>3062069232</v>
      </c>
      <c r="M662" s="20">
        <f t="shared" si="26"/>
        <v>0.71294355019927025</v>
      </c>
    </row>
    <row r="663" spans="12:13">
      <c r="L663" s="6">
        <f t="shared" si="25"/>
        <v>3186689484</v>
      </c>
      <c r="M663" s="20">
        <f t="shared" si="26"/>
        <v>0.74195896368473768</v>
      </c>
    </row>
    <row r="664" spans="12:13">
      <c r="L664" s="6">
        <f t="shared" si="25"/>
        <v>4092708344</v>
      </c>
      <c r="M664" s="20">
        <f t="shared" si="26"/>
        <v>0.95290791802108288</v>
      </c>
    </row>
    <row r="665" spans="12:13">
      <c r="L665" s="6">
        <f t="shared" si="25"/>
        <v>2410587188</v>
      </c>
      <c r="M665" s="20">
        <f t="shared" si="26"/>
        <v>0.56125856656581163</v>
      </c>
    </row>
    <row r="666" spans="12:13">
      <c r="L666" s="6">
        <f t="shared" si="25"/>
        <v>1093294400</v>
      </c>
      <c r="M666" s="20">
        <f t="shared" si="26"/>
        <v>0.2545524388551712</v>
      </c>
    </row>
    <row r="667" spans="12:13">
      <c r="L667" s="6">
        <f t="shared" si="25"/>
        <v>2355627740</v>
      </c>
      <c r="M667" s="20">
        <f t="shared" si="26"/>
        <v>0.54846232291311026</v>
      </c>
    </row>
    <row r="668" spans="12:13">
      <c r="L668" s="6">
        <f t="shared" si="25"/>
        <v>447554504</v>
      </c>
      <c r="M668" s="20">
        <f t="shared" si="26"/>
        <v>0.10420440323650837</v>
      </c>
    </row>
    <row r="669" spans="12:13">
      <c r="L669" s="6">
        <f t="shared" si="25"/>
        <v>2327214021</v>
      </c>
      <c r="M669" s="20">
        <f t="shared" si="26"/>
        <v>0.54184673842974007</v>
      </c>
    </row>
    <row r="670" spans="12:13">
      <c r="L670" s="6">
        <f t="shared" si="25"/>
        <v>2115280028</v>
      </c>
      <c r="M670" s="20">
        <f t="shared" si="26"/>
        <v>0.49250201042741537</v>
      </c>
    </row>
    <row r="671" spans="12:13">
      <c r="L671" s="6">
        <f t="shared" ref="L671:L734" si="27">MOD($I$13*L670+$J$13,2^32)</f>
        <v>2962325128</v>
      </c>
      <c r="M671" s="20">
        <f t="shared" si="26"/>
        <v>0.68972006626427174</v>
      </c>
    </row>
    <row r="672" spans="12:13">
      <c r="L672" s="6">
        <f t="shared" si="27"/>
        <v>2696467332</v>
      </c>
      <c r="M672" s="20">
        <f t="shared" si="26"/>
        <v>0.62782022450119257</v>
      </c>
    </row>
    <row r="673" spans="12:13">
      <c r="L673" s="6">
        <f t="shared" si="27"/>
        <v>3402780752</v>
      </c>
      <c r="M673" s="20">
        <f t="shared" si="26"/>
        <v>0.79227163270115852</v>
      </c>
    </row>
    <row r="674" spans="12:13">
      <c r="L674" s="6">
        <f t="shared" si="27"/>
        <v>3700286124</v>
      </c>
      <c r="M674" s="20">
        <f t="shared" si="26"/>
        <v>0.86153999995440245</v>
      </c>
    </row>
    <row r="675" spans="12:13">
      <c r="L675" s="6">
        <f t="shared" si="27"/>
        <v>4248001880</v>
      </c>
      <c r="M675" s="20">
        <f t="shared" si="26"/>
        <v>0.98906501196324825</v>
      </c>
    </row>
    <row r="676" spans="12:13">
      <c r="L676" s="6">
        <f t="shared" si="27"/>
        <v>2158638100</v>
      </c>
      <c r="M676" s="20">
        <f t="shared" si="26"/>
        <v>0.50259709823876619</v>
      </c>
    </row>
    <row r="677" spans="12:13">
      <c r="L677" s="6">
        <f t="shared" si="27"/>
        <v>3133802400</v>
      </c>
      <c r="M677" s="20">
        <f t="shared" si="26"/>
        <v>0.72964522987604141</v>
      </c>
    </row>
    <row r="678" spans="12:13">
      <c r="L678" s="6">
        <f t="shared" si="27"/>
        <v>560841148</v>
      </c>
      <c r="M678" s="20">
        <f t="shared" si="26"/>
        <v>0.13058100547641516</v>
      </c>
    </row>
    <row r="679" spans="12:13">
      <c r="L679" s="6">
        <f t="shared" si="27"/>
        <v>1849164073</v>
      </c>
      <c r="M679" s="20">
        <f t="shared" si="26"/>
        <v>0.43054206133820117</v>
      </c>
    </row>
    <row r="680" spans="12:13">
      <c r="L680" s="6">
        <f t="shared" si="27"/>
        <v>3395832496</v>
      </c>
      <c r="M680" s="20">
        <f t="shared" si="26"/>
        <v>0.79065386578440666</v>
      </c>
    </row>
    <row r="681" spans="12:13">
      <c r="L681" s="6">
        <f t="shared" si="27"/>
        <v>382826892</v>
      </c>
      <c r="M681" s="20">
        <f t="shared" si="26"/>
        <v>8.9133831672370434E-2</v>
      </c>
    </row>
    <row r="682" spans="12:13">
      <c r="L682" s="6">
        <f t="shared" si="27"/>
        <v>2507040441</v>
      </c>
      <c r="M682" s="20">
        <f t="shared" si="26"/>
        <v>0.58371583954431117</v>
      </c>
    </row>
    <row r="683" spans="12:13">
      <c r="L683" s="6">
        <f t="shared" si="27"/>
        <v>2691318528</v>
      </c>
      <c r="M683" s="20">
        <f t="shared" si="26"/>
        <v>0.62662142515182495</v>
      </c>
    </row>
    <row r="684" spans="12:13">
      <c r="L684" s="6">
        <f t="shared" si="27"/>
        <v>2301339036</v>
      </c>
      <c r="M684" s="20">
        <f t="shared" si="26"/>
        <v>0.53582224901765585</v>
      </c>
    </row>
    <row r="685" spans="12:13">
      <c r="L685" s="6">
        <f t="shared" si="27"/>
        <v>18477960</v>
      </c>
      <c r="M685" s="20">
        <f t="shared" si="26"/>
        <v>4.3022353202104568E-3</v>
      </c>
    </row>
    <row r="686" spans="12:13">
      <c r="L686" s="6">
        <f t="shared" si="27"/>
        <v>1029686405</v>
      </c>
      <c r="M686" s="20">
        <f t="shared" si="26"/>
        <v>0.23974254843778908</v>
      </c>
    </row>
    <row r="687" spans="12:13">
      <c r="L687" s="6">
        <f t="shared" si="27"/>
        <v>1462846046</v>
      </c>
      <c r="M687" s="20">
        <f t="shared" si="26"/>
        <v>0.34059538645669818</v>
      </c>
    </row>
    <row r="688" spans="12:13">
      <c r="L688" s="6">
        <f t="shared" si="27"/>
        <v>863376228</v>
      </c>
      <c r="M688" s="20">
        <f t="shared" si="26"/>
        <v>0.2010204428806901</v>
      </c>
    </row>
    <row r="689" spans="12:13">
      <c r="L689" s="6">
        <f t="shared" si="27"/>
        <v>3166170801</v>
      </c>
      <c r="M689" s="20">
        <f t="shared" si="26"/>
        <v>0.73718158551491797</v>
      </c>
    </row>
    <row r="690" spans="12:13">
      <c r="L690" s="6">
        <f t="shared" si="27"/>
        <v>273711768</v>
      </c>
      <c r="M690" s="20">
        <f t="shared" si="26"/>
        <v>6.3728487119078636E-2</v>
      </c>
    </row>
    <row r="691" spans="12:13">
      <c r="L691" s="6">
        <f t="shared" si="27"/>
        <v>2403031125</v>
      </c>
      <c r="M691" s="20">
        <f t="shared" si="26"/>
        <v>0.55949928355403244</v>
      </c>
    </row>
    <row r="692" spans="12:13">
      <c r="L692" s="6">
        <f t="shared" si="27"/>
        <v>319411180</v>
      </c>
      <c r="M692" s="20">
        <f t="shared" si="26"/>
        <v>7.436871062964201E-2</v>
      </c>
    </row>
    <row r="693" spans="12:13">
      <c r="L693" s="6">
        <f t="shared" si="27"/>
        <v>298900889</v>
      </c>
      <c r="M693" s="20">
        <f t="shared" si="26"/>
        <v>6.959328637458384E-2</v>
      </c>
    </row>
    <row r="694" spans="12:13">
      <c r="L694" s="6">
        <f t="shared" si="27"/>
        <v>2291575906</v>
      </c>
      <c r="M694" s="20">
        <f t="shared" si="26"/>
        <v>0.53354909317567945</v>
      </c>
    </row>
    <row r="695" spans="12:13">
      <c r="L695" s="6">
        <f t="shared" si="27"/>
        <v>26036628</v>
      </c>
      <c r="M695" s="20">
        <f t="shared" si="26"/>
        <v>6.0621248558163643E-3</v>
      </c>
    </row>
    <row r="696" spans="12:13">
      <c r="L696" s="6">
        <f t="shared" si="27"/>
        <v>2131074849</v>
      </c>
      <c r="M696" s="20">
        <f t="shared" si="26"/>
        <v>0.49617952876724303</v>
      </c>
    </row>
    <row r="697" spans="12:13">
      <c r="L697" s="6">
        <f t="shared" si="27"/>
        <v>1670490184</v>
      </c>
      <c r="M697" s="20">
        <f t="shared" si="26"/>
        <v>0.38894130475819111</v>
      </c>
    </row>
    <row r="698" spans="12:13">
      <c r="L698" s="6">
        <f t="shared" si="27"/>
        <v>2340401732</v>
      </c>
      <c r="M698" s="20">
        <f t="shared" si="26"/>
        <v>0.54491724167019129</v>
      </c>
    </row>
    <row r="699" spans="12:13">
      <c r="L699" s="6">
        <f t="shared" si="27"/>
        <v>3551092752</v>
      </c>
      <c r="M699" s="20">
        <f t="shared" si="26"/>
        <v>0.82680321112275124</v>
      </c>
    </row>
    <row r="700" spans="12:13">
      <c r="L700" s="6">
        <f t="shared" si="27"/>
        <v>769421164</v>
      </c>
      <c r="M700" s="20">
        <f t="shared" si="26"/>
        <v>0.17914482485502958</v>
      </c>
    </row>
    <row r="701" spans="12:13">
      <c r="L701" s="6">
        <f t="shared" si="27"/>
        <v>2062828313</v>
      </c>
      <c r="M701" s="20">
        <f t="shared" si="26"/>
        <v>0.48028964386321604</v>
      </c>
    </row>
    <row r="702" spans="12:13">
      <c r="L702" s="6">
        <f t="shared" si="27"/>
        <v>1084642272</v>
      </c>
      <c r="M702" s="20">
        <f t="shared" si="26"/>
        <v>0.25253795832395554</v>
      </c>
    </row>
    <row r="703" spans="12:13">
      <c r="L703" s="6">
        <f t="shared" si="27"/>
        <v>2202460412</v>
      </c>
      <c r="M703" s="20">
        <f t="shared" si="26"/>
        <v>0.51280027534812689</v>
      </c>
    </row>
    <row r="704" spans="12:13">
      <c r="L704" s="6">
        <f t="shared" si="27"/>
        <v>1779881832</v>
      </c>
      <c r="M704" s="20">
        <f t="shared" si="26"/>
        <v>0.41441103257238865</v>
      </c>
    </row>
    <row r="705" spans="12:13">
      <c r="L705" s="6">
        <f t="shared" si="27"/>
        <v>1802811108</v>
      </c>
      <c r="M705" s="20">
        <f t="shared" si="26"/>
        <v>0.41974967066198587</v>
      </c>
    </row>
    <row r="706" spans="12:13">
      <c r="L706" s="6">
        <f t="shared" si="27"/>
        <v>3133127728</v>
      </c>
      <c r="M706" s="20">
        <f t="shared" si="26"/>
        <v>0.72948814556002617</v>
      </c>
    </row>
    <row r="707" spans="12:13">
      <c r="L707" s="6">
        <f t="shared" si="27"/>
        <v>1828830476</v>
      </c>
      <c r="M707" s="20">
        <f t="shared" si="26"/>
        <v>0.42580777686089277</v>
      </c>
    </row>
    <row r="708" spans="12:13">
      <c r="L708" s="6">
        <f t="shared" si="27"/>
        <v>2451264568</v>
      </c>
      <c r="M708" s="20">
        <f t="shared" si="26"/>
        <v>0.57072950713336468</v>
      </c>
    </row>
    <row r="709" spans="12:13">
      <c r="L709" s="6">
        <f t="shared" si="27"/>
        <v>2334006644</v>
      </c>
      <c r="M709" s="20">
        <f t="shared" ref="M709:M772" si="28">L709/2^32</f>
        <v>0.54342826921492815</v>
      </c>
    </row>
    <row r="710" spans="12:13">
      <c r="L710" s="6">
        <f t="shared" si="27"/>
        <v>4249731456</v>
      </c>
      <c r="M710" s="20">
        <f t="shared" si="28"/>
        <v>0.98946771025657654</v>
      </c>
    </row>
    <row r="711" spans="12:13">
      <c r="L711" s="6">
        <f t="shared" si="27"/>
        <v>3668546076</v>
      </c>
      <c r="M711" s="20">
        <f t="shared" si="28"/>
        <v>0.85414994414895773</v>
      </c>
    </row>
    <row r="712" spans="12:13">
      <c r="L712" s="6">
        <f t="shared" si="27"/>
        <v>2150987272</v>
      </c>
      <c r="M712" s="20">
        <f t="shared" si="28"/>
        <v>0.50081575103104115</v>
      </c>
    </row>
    <row r="713" spans="12:13">
      <c r="L713" s="6">
        <f t="shared" si="27"/>
        <v>3800687876</v>
      </c>
      <c r="M713" s="20">
        <f t="shared" si="28"/>
        <v>0.88491660449653864</v>
      </c>
    </row>
    <row r="714" spans="12:13">
      <c r="L714" s="6">
        <f t="shared" si="27"/>
        <v>2723132368</v>
      </c>
      <c r="M714" s="20">
        <f t="shared" si="28"/>
        <v>0.63402866199612617</v>
      </c>
    </row>
    <row r="715" spans="12:13">
      <c r="L715" s="6">
        <f t="shared" si="27"/>
        <v>3519377452</v>
      </c>
      <c r="M715" s="20">
        <f t="shared" si="28"/>
        <v>0.81941891741007566</v>
      </c>
    </row>
    <row r="716" spans="12:13">
      <c r="L716" s="6">
        <f t="shared" si="27"/>
        <v>3935374552</v>
      </c>
      <c r="M716" s="20">
        <f t="shared" si="28"/>
        <v>0.91627578996121883</v>
      </c>
    </row>
    <row r="717" spans="12:13">
      <c r="L717" s="6">
        <f t="shared" si="27"/>
        <v>3691093396</v>
      </c>
      <c r="M717" s="20">
        <f t="shared" si="28"/>
        <v>0.8593996511772275</v>
      </c>
    </row>
    <row r="718" spans="12:13">
      <c r="L718" s="6">
        <f t="shared" si="27"/>
        <v>2186404640</v>
      </c>
      <c r="M718" s="20">
        <f t="shared" si="28"/>
        <v>0.50906199961900711</v>
      </c>
    </row>
    <row r="719" spans="12:13">
      <c r="L719" s="6">
        <f t="shared" si="27"/>
        <v>906323772</v>
      </c>
      <c r="M719" s="20">
        <f t="shared" si="28"/>
        <v>0.21101994719356298</v>
      </c>
    </row>
    <row r="720" spans="12:13">
      <c r="L720" s="6">
        <f t="shared" si="27"/>
        <v>3429820585</v>
      </c>
      <c r="M720" s="20">
        <f t="shared" si="28"/>
        <v>0.79856733442284167</v>
      </c>
    </row>
    <row r="721" spans="12:13">
      <c r="L721" s="6">
        <f t="shared" si="27"/>
        <v>1029671984</v>
      </c>
      <c r="M721" s="20">
        <f t="shared" si="28"/>
        <v>0.23973919078707695</v>
      </c>
    </row>
    <row r="722" spans="12:13">
      <c r="L722" s="6">
        <f t="shared" si="27"/>
        <v>1026510093</v>
      </c>
      <c r="M722" s="20">
        <f t="shared" si="28"/>
        <v>0.23900300567038357</v>
      </c>
    </row>
    <row r="723" spans="12:13">
      <c r="L723" s="6">
        <f t="shared" si="27"/>
        <v>3418052934</v>
      </c>
      <c r="M723" s="20">
        <f t="shared" si="28"/>
        <v>0.79582746466621757</v>
      </c>
    </row>
    <row r="724" spans="12:13">
      <c r="L724" s="6">
        <f t="shared" si="27"/>
        <v>499336492</v>
      </c>
      <c r="M724" s="20">
        <f t="shared" si="28"/>
        <v>0.11626083683222532</v>
      </c>
    </row>
    <row r="725" spans="12:13">
      <c r="L725" s="6">
        <f t="shared" si="27"/>
        <v>3910000089</v>
      </c>
      <c r="M725" s="20">
        <f t="shared" si="28"/>
        <v>0.91036783740855753</v>
      </c>
    </row>
    <row r="726" spans="12:13">
      <c r="L726" s="6">
        <f t="shared" si="27"/>
        <v>3080515488</v>
      </c>
      <c r="M726" s="20">
        <f t="shared" si="28"/>
        <v>0.7172384038567543</v>
      </c>
    </row>
    <row r="727" spans="12:13">
      <c r="L727" s="6">
        <f t="shared" si="27"/>
        <v>774605244</v>
      </c>
      <c r="M727" s="20">
        <f t="shared" si="28"/>
        <v>0.18035183753818274</v>
      </c>
    </row>
    <row r="728" spans="12:13">
      <c r="L728" s="6">
        <f t="shared" si="27"/>
        <v>2051221801</v>
      </c>
      <c r="M728" s="20">
        <f t="shared" si="28"/>
        <v>0.47758729220367968</v>
      </c>
    </row>
    <row r="729" spans="12:13">
      <c r="L729" s="6">
        <f t="shared" si="27"/>
        <v>574706352</v>
      </c>
      <c r="M729" s="20">
        <f t="shared" si="28"/>
        <v>0.13380924984812737</v>
      </c>
    </row>
    <row r="730" spans="12:13">
      <c r="L730" s="6">
        <f t="shared" si="27"/>
        <v>4152287629</v>
      </c>
      <c r="M730" s="20">
        <f t="shared" si="28"/>
        <v>0.96677980129607022</v>
      </c>
    </row>
    <row r="731" spans="12:13">
      <c r="L731" s="6">
        <f t="shared" si="27"/>
        <v>826565572</v>
      </c>
      <c r="M731" s="20">
        <f t="shared" si="28"/>
        <v>0.19244979415088892</v>
      </c>
    </row>
    <row r="732" spans="12:13">
      <c r="L732" s="6">
        <f t="shared" si="27"/>
        <v>1587930001</v>
      </c>
      <c r="M732" s="20">
        <f t="shared" si="28"/>
        <v>0.36971876421011984</v>
      </c>
    </row>
    <row r="733" spans="12:13">
      <c r="L733" s="6">
        <f t="shared" si="27"/>
        <v>44585464</v>
      </c>
      <c r="M733" s="20">
        <f t="shared" si="28"/>
        <v>1.0380862280726433E-2</v>
      </c>
    </row>
    <row r="734" spans="12:13">
      <c r="L734" s="6">
        <f t="shared" si="27"/>
        <v>3555704885</v>
      </c>
      <c r="M734" s="20">
        <f t="shared" si="28"/>
        <v>0.82787705701775849</v>
      </c>
    </row>
    <row r="735" spans="12:13">
      <c r="L735" s="6">
        <f t="shared" ref="L735:L798" si="29">MOD($I$13*L734+$J$13,2^32)</f>
        <v>2781117004</v>
      </c>
      <c r="M735" s="20">
        <f t="shared" si="28"/>
        <v>0.64752926211804152</v>
      </c>
    </row>
    <row r="736" spans="12:13">
      <c r="L736" s="6">
        <f t="shared" si="29"/>
        <v>109916280</v>
      </c>
      <c r="M736" s="20">
        <f t="shared" si="28"/>
        <v>2.5591878220438957E-2</v>
      </c>
    </row>
    <row r="737" spans="12:13">
      <c r="L737" s="6">
        <f t="shared" si="29"/>
        <v>962563253</v>
      </c>
      <c r="M737" s="20">
        <f t="shared" si="28"/>
        <v>0.22411422175355256</v>
      </c>
    </row>
    <row r="738" spans="12:13">
      <c r="L738" s="6">
        <f t="shared" si="29"/>
        <v>1267227854</v>
      </c>
      <c r="M738" s="20">
        <f t="shared" si="28"/>
        <v>0.29504947690293193</v>
      </c>
    </row>
    <row r="739" spans="12:13">
      <c r="L739" s="6">
        <f t="shared" si="29"/>
        <v>1327733524</v>
      </c>
      <c r="M739" s="20">
        <f t="shared" si="28"/>
        <v>0.30913705099374056</v>
      </c>
    </row>
    <row r="740" spans="12:13">
      <c r="L740" s="6">
        <f t="shared" si="29"/>
        <v>633815712</v>
      </c>
      <c r="M740" s="20">
        <f t="shared" si="28"/>
        <v>0.14757172018289566</v>
      </c>
    </row>
    <row r="741" spans="12:13">
      <c r="L741" s="6">
        <f t="shared" si="29"/>
        <v>3758145725</v>
      </c>
      <c r="M741" s="20">
        <f t="shared" si="28"/>
        <v>0.87501148809678853</v>
      </c>
    </row>
    <row r="742" spans="12:13">
      <c r="L742" s="6">
        <f t="shared" si="29"/>
        <v>2340006196</v>
      </c>
      <c r="M742" s="20">
        <f t="shared" si="28"/>
        <v>0.54482514876872301</v>
      </c>
    </row>
    <row r="743" spans="12:13">
      <c r="L743" s="6">
        <f t="shared" si="29"/>
        <v>268606016</v>
      </c>
      <c r="M743" s="20">
        <f t="shared" si="28"/>
        <v>6.2539711594581604E-2</v>
      </c>
    </row>
    <row r="744" spans="12:13">
      <c r="L744" s="6">
        <f t="shared" si="29"/>
        <v>844649437</v>
      </c>
      <c r="M744" s="20">
        <f t="shared" si="28"/>
        <v>0.1966602720785886</v>
      </c>
    </row>
    <row r="745" spans="12:13">
      <c r="L745" s="6">
        <f t="shared" si="29"/>
        <v>2714878422</v>
      </c>
      <c r="M745" s="20">
        <f t="shared" si="28"/>
        <v>0.63210689043626189</v>
      </c>
    </row>
    <row r="746" spans="12:13">
      <c r="L746" s="6">
        <f t="shared" si="29"/>
        <v>3024381052</v>
      </c>
      <c r="M746" s="20">
        <f t="shared" si="28"/>
        <v>0.70416858699172735</v>
      </c>
    </row>
    <row r="747" spans="12:13">
      <c r="L747" s="6">
        <f t="shared" si="29"/>
        <v>1634731240</v>
      </c>
      <c r="M747" s="20">
        <f t="shared" si="28"/>
        <v>0.38061552681028843</v>
      </c>
    </row>
    <row r="748" spans="12:13">
      <c r="L748" s="6">
        <f t="shared" si="29"/>
        <v>2594670180</v>
      </c>
      <c r="M748" s="20">
        <f t="shared" si="28"/>
        <v>0.60411872807890177</v>
      </c>
    </row>
    <row r="749" spans="12:13">
      <c r="L749" s="6">
        <f t="shared" si="29"/>
        <v>4253664688</v>
      </c>
      <c r="M749" s="20">
        <f t="shared" si="28"/>
        <v>0.99038348719477654</v>
      </c>
    </row>
    <row r="750" spans="12:13">
      <c r="L750" s="6">
        <f t="shared" si="29"/>
        <v>1618720908</v>
      </c>
      <c r="M750" s="20">
        <f t="shared" si="28"/>
        <v>0.37688783090561628</v>
      </c>
    </row>
    <row r="751" spans="12:13">
      <c r="L751" s="6">
        <f t="shared" si="29"/>
        <v>4070480312</v>
      </c>
      <c r="M751" s="20">
        <f t="shared" si="28"/>
        <v>0.94773255102336407</v>
      </c>
    </row>
    <row r="752" spans="12:13">
      <c r="L752" s="6">
        <f t="shared" si="29"/>
        <v>3161203956</v>
      </c>
      <c r="M752" s="20">
        <f t="shared" si="28"/>
        <v>0.73602515179663897</v>
      </c>
    </row>
    <row r="753" spans="12:13">
      <c r="L753" s="6">
        <f t="shared" si="29"/>
        <v>1645323008</v>
      </c>
      <c r="M753" s="20">
        <f t="shared" si="28"/>
        <v>0.38308161497116089</v>
      </c>
    </row>
    <row r="754" spans="12:13">
      <c r="L754" s="6">
        <f t="shared" si="29"/>
        <v>1435207068</v>
      </c>
      <c r="M754" s="20">
        <f t="shared" si="28"/>
        <v>0.33416018541902304</v>
      </c>
    </row>
    <row r="755" spans="12:13">
      <c r="L755" s="6">
        <f t="shared" si="29"/>
        <v>1264079752</v>
      </c>
      <c r="M755" s="20">
        <f t="shared" si="28"/>
        <v>0.29431650228798389</v>
      </c>
    </row>
    <row r="756" spans="12:13">
      <c r="L756" s="6">
        <f t="shared" si="29"/>
        <v>3161105540</v>
      </c>
      <c r="M756" s="20">
        <f t="shared" si="28"/>
        <v>0.73600223753601313</v>
      </c>
    </row>
    <row r="757" spans="12:13">
      <c r="L757" s="6">
        <f t="shared" si="29"/>
        <v>2594106704</v>
      </c>
      <c r="M757" s="20">
        <f t="shared" si="28"/>
        <v>0.60398753359913826</v>
      </c>
    </row>
    <row r="758" spans="12:13">
      <c r="L758" s="6">
        <f t="shared" si="29"/>
        <v>4159888300</v>
      </c>
      <c r="M758" s="20">
        <f t="shared" si="28"/>
        <v>0.96854947041720152</v>
      </c>
    </row>
    <row r="759" spans="12:13">
      <c r="L759" s="6">
        <f t="shared" si="29"/>
        <v>1281426008</v>
      </c>
      <c r="M759" s="20">
        <f t="shared" si="28"/>
        <v>0.29835524223744869</v>
      </c>
    </row>
    <row r="760" spans="12:13">
      <c r="L760" s="6">
        <f t="shared" si="29"/>
        <v>2795803924</v>
      </c>
      <c r="M760" s="20">
        <f t="shared" si="28"/>
        <v>0.65094882715493441</v>
      </c>
    </row>
    <row r="761" spans="12:13">
      <c r="L761" s="6">
        <f t="shared" si="29"/>
        <v>3457545376</v>
      </c>
      <c r="M761" s="20">
        <f t="shared" si="28"/>
        <v>0.80502251535654068</v>
      </c>
    </row>
    <row r="762" spans="12:13">
      <c r="L762" s="6">
        <f t="shared" si="29"/>
        <v>1574554300</v>
      </c>
      <c r="M762" s="20">
        <f t="shared" si="28"/>
        <v>0.36660449113696814</v>
      </c>
    </row>
    <row r="763" spans="12:13">
      <c r="L763" s="6">
        <f t="shared" si="29"/>
        <v>1494316584</v>
      </c>
      <c r="M763" s="20">
        <f t="shared" si="28"/>
        <v>0.34792269207537174</v>
      </c>
    </row>
    <row r="764" spans="12:13">
      <c r="L764" s="6">
        <f t="shared" si="29"/>
        <v>2175567524</v>
      </c>
      <c r="M764" s="20">
        <f t="shared" si="28"/>
        <v>0.50653878692537546</v>
      </c>
    </row>
    <row r="765" spans="12:13">
      <c r="L765" s="6">
        <f t="shared" si="29"/>
        <v>1639450864</v>
      </c>
      <c r="M765" s="20">
        <f t="shared" si="28"/>
        <v>0.38171439990401268</v>
      </c>
    </row>
    <row r="766" spans="12:13">
      <c r="L766" s="6">
        <f t="shared" si="29"/>
        <v>2300666572</v>
      </c>
      <c r="M766" s="20">
        <f t="shared" si="28"/>
        <v>0.53566567879170179</v>
      </c>
    </row>
    <row r="767" spans="12:13">
      <c r="L767" s="6">
        <f t="shared" si="29"/>
        <v>2586279672</v>
      </c>
      <c r="M767" s="20">
        <f t="shared" si="28"/>
        <v>0.60216516070067883</v>
      </c>
    </row>
    <row r="768" spans="12:13">
      <c r="L768" s="6">
        <f t="shared" si="29"/>
        <v>3275098420</v>
      </c>
      <c r="M768" s="20">
        <f t="shared" si="28"/>
        <v>0.76254327315837145</v>
      </c>
    </row>
    <row r="769" spans="12:13">
      <c r="L769" s="6">
        <f t="shared" si="29"/>
        <v>3027466816</v>
      </c>
      <c r="M769" s="20">
        <f t="shared" si="28"/>
        <v>0.70488704741001129</v>
      </c>
    </row>
    <row r="770" spans="12:13">
      <c r="L770" s="6">
        <f t="shared" si="29"/>
        <v>2054403036</v>
      </c>
      <c r="M770" s="20">
        <f t="shared" si="28"/>
        <v>0.4783279811963439</v>
      </c>
    </row>
    <row r="771" spans="12:13">
      <c r="L771" s="6">
        <f t="shared" si="29"/>
        <v>1167453384</v>
      </c>
      <c r="M771" s="20">
        <f t="shared" si="28"/>
        <v>0.27181892283260822</v>
      </c>
    </row>
    <row r="772" spans="12:13">
      <c r="L772" s="6">
        <f t="shared" si="29"/>
        <v>94743748</v>
      </c>
      <c r="M772" s="20">
        <f t="shared" si="28"/>
        <v>2.2059247829020023E-2</v>
      </c>
    </row>
    <row r="773" spans="12:13">
      <c r="L773" s="6">
        <f t="shared" si="29"/>
        <v>657692817</v>
      </c>
      <c r="M773" s="20">
        <f t="shared" ref="M773:M836" si="30">L773/2^32</f>
        <v>0.15313104190863669</v>
      </c>
    </row>
    <row r="774" spans="12:13">
      <c r="L774" s="6">
        <f t="shared" si="29"/>
        <v>768836346</v>
      </c>
      <c r="M774" s="20">
        <f t="shared" si="30"/>
        <v>0.17900866130366921</v>
      </c>
    </row>
    <row r="775" spans="12:13">
      <c r="L775" s="6">
        <f t="shared" si="29"/>
        <v>3737495375</v>
      </c>
      <c r="M775" s="20">
        <f t="shared" si="30"/>
        <v>0.87020345381461084</v>
      </c>
    </row>
    <row r="776" spans="12:13">
      <c r="L776" s="6">
        <f t="shared" si="29"/>
        <v>351049888</v>
      </c>
      <c r="M776" s="20">
        <f t="shared" si="30"/>
        <v>8.1735171377658844E-2</v>
      </c>
    </row>
    <row r="777" spans="12:13">
      <c r="L777" s="6">
        <f t="shared" si="29"/>
        <v>347348669</v>
      </c>
      <c r="M777" s="20">
        <f t="shared" si="30"/>
        <v>8.0873414175584912E-2</v>
      </c>
    </row>
    <row r="778" spans="12:13">
      <c r="L778" s="6">
        <f t="shared" si="29"/>
        <v>2886430518</v>
      </c>
      <c r="M778" s="20">
        <f t="shared" si="30"/>
        <v>0.67204947536811233</v>
      </c>
    </row>
    <row r="779" spans="12:13">
      <c r="L779" s="6">
        <f t="shared" si="29"/>
        <v>57086556</v>
      </c>
      <c r="M779" s="20">
        <f t="shared" si="30"/>
        <v>1.3291499577462673E-2</v>
      </c>
    </row>
    <row r="780" spans="12:13">
      <c r="L780" s="6">
        <f t="shared" si="29"/>
        <v>759314761</v>
      </c>
      <c r="M780" s="20">
        <f t="shared" si="30"/>
        <v>0.17679174453951418</v>
      </c>
    </row>
    <row r="781" spans="12:13">
      <c r="L781" s="6">
        <f t="shared" si="29"/>
        <v>2407253074</v>
      </c>
      <c r="M781" s="20">
        <f t="shared" si="30"/>
        <v>0.56048228265717626</v>
      </c>
    </row>
    <row r="782" spans="12:13">
      <c r="L782" s="6">
        <f t="shared" si="29"/>
        <v>892088516</v>
      </c>
      <c r="M782" s="20">
        <f t="shared" si="30"/>
        <v>0.20770554337650537</v>
      </c>
    </row>
    <row r="783" spans="12:13">
      <c r="L783" s="6">
        <f t="shared" si="29"/>
        <v>677137553</v>
      </c>
      <c r="M783" s="20">
        <f t="shared" si="30"/>
        <v>0.15765837230719626</v>
      </c>
    </row>
    <row r="784" spans="12:13">
      <c r="L784" s="6">
        <f t="shared" si="29"/>
        <v>1344841466</v>
      </c>
      <c r="M784" s="20">
        <f t="shared" si="30"/>
        <v>0.31312030414119363</v>
      </c>
    </row>
    <row r="785" spans="12:13">
      <c r="L785" s="6">
        <f t="shared" si="29"/>
        <v>2878110544</v>
      </c>
      <c r="M785" s="20">
        <f t="shared" si="30"/>
        <v>0.67011233046650887</v>
      </c>
    </row>
    <row r="786" spans="12:13">
      <c r="L786" s="6">
        <f t="shared" si="29"/>
        <v>996741548</v>
      </c>
      <c r="M786" s="20">
        <f t="shared" si="30"/>
        <v>0.23207197617739439</v>
      </c>
    </row>
    <row r="787" spans="12:13">
      <c r="L787" s="6">
        <f t="shared" si="29"/>
        <v>395296857</v>
      </c>
      <c r="M787" s="20">
        <f t="shared" si="30"/>
        <v>9.203722164966166E-2</v>
      </c>
    </row>
    <row r="788" spans="12:13">
      <c r="L788" s="6">
        <f t="shared" si="29"/>
        <v>1188687906</v>
      </c>
      <c r="M788" s="20">
        <f t="shared" si="30"/>
        <v>0.27676297025755048</v>
      </c>
    </row>
    <row r="789" spans="12:13">
      <c r="L789" s="6">
        <f t="shared" si="29"/>
        <v>3592321624</v>
      </c>
      <c r="M789" s="20">
        <f t="shared" si="30"/>
        <v>0.83640255592763424</v>
      </c>
    </row>
    <row r="790" spans="12:13">
      <c r="L790" s="6">
        <f t="shared" si="29"/>
        <v>589016340</v>
      </c>
      <c r="M790" s="20">
        <f t="shared" si="30"/>
        <v>0.13714105356484652</v>
      </c>
    </row>
    <row r="791" spans="12:13">
      <c r="L791" s="6">
        <f t="shared" si="29"/>
        <v>1008348321</v>
      </c>
      <c r="M791" s="20">
        <f t="shared" si="30"/>
        <v>0.23477438860572875</v>
      </c>
    </row>
    <row r="792" spans="12:13">
      <c r="L792" s="6">
        <f t="shared" si="29"/>
        <v>3089651658</v>
      </c>
      <c r="M792" s="20">
        <f t="shared" si="30"/>
        <v>0.71936558419838548</v>
      </c>
    </row>
    <row r="793" spans="12:13">
      <c r="L793" s="6">
        <f t="shared" si="29"/>
        <v>1924892124</v>
      </c>
      <c r="M793" s="20">
        <f t="shared" si="30"/>
        <v>0.44817387219518423</v>
      </c>
    </row>
    <row r="794" spans="12:13">
      <c r="L794" s="6">
        <f t="shared" si="29"/>
        <v>3602224840</v>
      </c>
      <c r="M794" s="20">
        <f t="shared" si="30"/>
        <v>0.83870832808315754</v>
      </c>
    </row>
    <row r="795" spans="12:13">
      <c r="L795" s="6">
        <f t="shared" si="29"/>
        <v>494096068</v>
      </c>
      <c r="M795" s="20">
        <f t="shared" si="30"/>
        <v>0.11504070553928614</v>
      </c>
    </row>
    <row r="796" spans="12:13">
      <c r="L796" s="6">
        <f t="shared" si="29"/>
        <v>506385041</v>
      </c>
      <c r="M796" s="20">
        <f t="shared" si="30"/>
        <v>0.11790195503272116</v>
      </c>
    </row>
    <row r="797" spans="12:13">
      <c r="L797" s="6">
        <f t="shared" si="29"/>
        <v>513242362</v>
      </c>
      <c r="M797" s="20">
        <f t="shared" si="30"/>
        <v>0.11949854949489236</v>
      </c>
    </row>
    <row r="798" spans="12:13">
      <c r="L798" s="6">
        <f t="shared" si="29"/>
        <v>2966614351</v>
      </c>
      <c r="M798" s="20">
        <f t="shared" si="30"/>
        <v>0.69071872881613672</v>
      </c>
    </row>
    <row r="799" spans="12:13">
      <c r="L799" s="6">
        <f t="shared" ref="L799:L862" si="31">MOD($I$13*L798+$J$13,2^32)</f>
        <v>3672857248</v>
      </c>
      <c r="M799" s="20">
        <f t="shared" si="30"/>
        <v>0.85515371710062027</v>
      </c>
    </row>
    <row r="800" spans="12:13">
      <c r="L800" s="6">
        <f t="shared" si="31"/>
        <v>2144204988</v>
      </c>
      <c r="M800" s="20">
        <f t="shared" si="30"/>
        <v>0.4992366274818778</v>
      </c>
    </row>
    <row r="801" spans="12:13">
      <c r="L801" s="6">
        <f t="shared" si="31"/>
        <v>2298334248</v>
      </c>
      <c r="M801" s="20">
        <f t="shared" si="30"/>
        <v>0.53512264229357243</v>
      </c>
    </row>
    <row r="802" spans="12:13">
      <c r="L802" s="6">
        <f t="shared" si="31"/>
        <v>3011175588</v>
      </c>
      <c r="M802" s="20">
        <f t="shared" si="30"/>
        <v>0.70109395030885935</v>
      </c>
    </row>
    <row r="803" spans="12:13">
      <c r="L803" s="6">
        <f t="shared" si="31"/>
        <v>1940442864</v>
      </c>
      <c r="M803" s="20">
        <f t="shared" si="30"/>
        <v>0.45179456099867821</v>
      </c>
    </row>
    <row r="804" spans="12:13">
      <c r="L804" s="6">
        <f t="shared" si="31"/>
        <v>3898175692</v>
      </c>
      <c r="M804" s="20">
        <f t="shared" si="30"/>
        <v>0.90761475544422865</v>
      </c>
    </row>
    <row r="805" spans="12:13">
      <c r="L805" s="6">
        <f t="shared" si="31"/>
        <v>65418488</v>
      </c>
      <c r="M805" s="20">
        <f t="shared" si="30"/>
        <v>1.5231428667902946E-2</v>
      </c>
    </row>
    <row r="806" spans="12:13">
      <c r="L806" s="6">
        <f t="shared" si="31"/>
        <v>1116948277</v>
      </c>
      <c r="M806" s="20">
        <f t="shared" si="30"/>
        <v>0.26005978626199067</v>
      </c>
    </row>
    <row r="807" spans="12:13">
      <c r="L807" s="6">
        <f t="shared" si="31"/>
        <v>3682948428</v>
      </c>
      <c r="M807" s="20">
        <f t="shared" si="30"/>
        <v>0.85750325303524733</v>
      </c>
    </row>
    <row r="808" spans="12:13">
      <c r="L808" s="6">
        <f t="shared" si="31"/>
        <v>3241103224</v>
      </c>
      <c r="M808" s="20">
        <f t="shared" si="30"/>
        <v>0.75462814979255199</v>
      </c>
    </row>
    <row r="809" spans="12:13">
      <c r="L809" s="6">
        <f t="shared" si="31"/>
        <v>3028688820</v>
      </c>
      <c r="M809" s="20">
        <f t="shared" si="30"/>
        <v>0.70517156738787889</v>
      </c>
    </row>
    <row r="810" spans="12:13">
      <c r="L810" s="6">
        <f t="shared" si="31"/>
        <v>3203210944</v>
      </c>
      <c r="M810" s="20">
        <f t="shared" si="30"/>
        <v>0.74580566585063934</v>
      </c>
    </row>
    <row r="811" spans="12:13">
      <c r="L811" s="6">
        <f t="shared" si="31"/>
        <v>2674888284</v>
      </c>
      <c r="M811" s="20">
        <f t="shared" si="30"/>
        <v>0.62279596086591482</v>
      </c>
    </row>
    <row r="812" spans="12:13">
      <c r="L812" s="6">
        <f t="shared" si="31"/>
        <v>2640086344</v>
      </c>
      <c r="M812" s="20">
        <f t="shared" si="30"/>
        <v>0.61469300277531147</v>
      </c>
    </row>
    <row r="813" spans="12:13">
      <c r="L813" s="6">
        <f t="shared" si="31"/>
        <v>2349722436</v>
      </c>
      <c r="M813" s="20">
        <f t="shared" si="30"/>
        <v>0.54708738718181849</v>
      </c>
    </row>
    <row r="814" spans="12:13">
      <c r="L814" s="6">
        <f t="shared" si="31"/>
        <v>2955887888</v>
      </c>
      <c r="M814" s="20">
        <f t="shared" si="30"/>
        <v>0.6882212795317173</v>
      </c>
    </row>
    <row r="815" spans="12:13">
      <c r="L815" s="6">
        <f t="shared" si="31"/>
        <v>2794590316</v>
      </c>
      <c r="M815" s="20">
        <f t="shared" si="30"/>
        <v>0.65066626202315092</v>
      </c>
    </row>
    <row r="816" spans="12:13">
      <c r="L816" s="6">
        <f t="shared" si="31"/>
        <v>3858919448</v>
      </c>
      <c r="M816" s="20">
        <f t="shared" si="30"/>
        <v>0.89847469888627529</v>
      </c>
    </row>
    <row r="817" spans="12:13">
      <c r="L817" s="6">
        <f t="shared" si="31"/>
        <v>145745876</v>
      </c>
      <c r="M817" s="20">
        <f t="shared" si="30"/>
        <v>3.393410611897707E-2</v>
      </c>
    </row>
    <row r="818" spans="12:13">
      <c r="L818" s="6">
        <f t="shared" si="31"/>
        <v>3614107745</v>
      </c>
      <c r="M818" s="20">
        <f t="shared" si="30"/>
        <v>0.84147503250278533</v>
      </c>
    </row>
    <row r="819" spans="12:13">
      <c r="L819" s="6">
        <f t="shared" si="31"/>
        <v>3561005192</v>
      </c>
      <c r="M819" s="20">
        <f t="shared" si="30"/>
        <v>0.8291111309081316</v>
      </c>
    </row>
    <row r="820" spans="12:13">
      <c r="L820" s="6">
        <f t="shared" si="31"/>
        <v>564628868</v>
      </c>
      <c r="M820" s="20">
        <f t="shared" si="30"/>
        <v>0.13146290276199579</v>
      </c>
    </row>
    <row r="821" spans="12:13">
      <c r="L821" s="6">
        <f t="shared" si="31"/>
        <v>1718862417</v>
      </c>
      <c r="M821" s="20">
        <f t="shared" si="30"/>
        <v>0.40020384290255606</v>
      </c>
    </row>
    <row r="822" spans="12:13">
      <c r="L822" s="6">
        <f t="shared" si="31"/>
        <v>2010800568</v>
      </c>
      <c r="M822" s="20">
        <f t="shared" si="30"/>
        <v>0.46817599050700665</v>
      </c>
    </row>
    <row r="823" spans="12:13">
      <c r="L823" s="6">
        <f t="shared" si="31"/>
        <v>4242361588</v>
      </c>
      <c r="M823" s="20">
        <f t="shared" si="30"/>
        <v>0.98775177914649248</v>
      </c>
    </row>
    <row r="824" spans="12:13">
      <c r="L824" s="6">
        <f t="shared" si="31"/>
        <v>2165877504</v>
      </c>
      <c r="M824" s="20">
        <f t="shared" si="30"/>
        <v>0.50428265333175659</v>
      </c>
    </row>
    <row r="825" spans="12:13">
      <c r="L825" s="6">
        <f t="shared" si="31"/>
        <v>3650022812</v>
      </c>
      <c r="M825" s="20">
        <f t="shared" si="30"/>
        <v>0.84983716066926718</v>
      </c>
    </row>
    <row r="826" spans="12:13">
      <c r="L826" s="6">
        <f t="shared" si="31"/>
        <v>826248</v>
      </c>
      <c r="M826" s="20">
        <f t="shared" si="30"/>
        <v>1.9237585365772247E-4</v>
      </c>
    </row>
    <row r="827" spans="12:13">
      <c r="L827" s="6">
        <f t="shared" si="31"/>
        <v>410668165</v>
      </c>
      <c r="M827" s="20">
        <f t="shared" si="30"/>
        <v>9.5616133185103536E-2</v>
      </c>
    </row>
    <row r="828" spans="12:13">
      <c r="L828" s="6">
        <f t="shared" si="31"/>
        <v>2981243486</v>
      </c>
      <c r="M828" s="20">
        <f t="shared" si="30"/>
        <v>0.69412483973428607</v>
      </c>
    </row>
    <row r="829" spans="12:13">
      <c r="L829" s="6">
        <f t="shared" si="31"/>
        <v>134863716</v>
      </c>
      <c r="M829" s="20">
        <f t="shared" si="30"/>
        <v>3.1400405801832676E-2</v>
      </c>
    </row>
    <row r="830" spans="12:13">
      <c r="L830" s="6">
        <f t="shared" si="31"/>
        <v>1017190065</v>
      </c>
      <c r="M830" s="20">
        <f t="shared" si="30"/>
        <v>0.23683301755227149</v>
      </c>
    </row>
    <row r="831" spans="12:13">
      <c r="L831" s="6">
        <f t="shared" si="31"/>
        <v>1081051802</v>
      </c>
      <c r="M831" s="20">
        <f t="shared" si="30"/>
        <v>0.25170198688283563</v>
      </c>
    </row>
    <row r="832" spans="12:13">
      <c r="L832" s="6">
        <f t="shared" si="31"/>
        <v>3933612656</v>
      </c>
      <c r="M832" s="20">
        <f t="shared" si="30"/>
        <v>0.91586556658148766</v>
      </c>
    </row>
    <row r="833" spans="12:13">
      <c r="L833" s="6">
        <f t="shared" si="31"/>
        <v>2264438348</v>
      </c>
      <c r="M833" s="20">
        <f t="shared" si="30"/>
        <v>0.52723063807934523</v>
      </c>
    </row>
    <row r="834" spans="12:13">
      <c r="L834" s="6">
        <f t="shared" si="31"/>
        <v>838769784</v>
      </c>
      <c r="M834" s="20">
        <f t="shared" si="30"/>
        <v>0.1952913086861372</v>
      </c>
    </row>
    <row r="835" spans="12:13">
      <c r="L835" s="6">
        <f t="shared" si="31"/>
        <v>863897781</v>
      </c>
      <c r="M835" s="20">
        <f t="shared" si="30"/>
        <v>0.2011418764013797</v>
      </c>
    </row>
    <row r="836" spans="12:13">
      <c r="L836" s="6">
        <f t="shared" si="31"/>
        <v>281061582</v>
      </c>
      <c r="M836" s="20">
        <f t="shared" si="30"/>
        <v>6.5439749043434858E-2</v>
      </c>
    </row>
    <row r="837" spans="12:13">
      <c r="L837" s="6">
        <f t="shared" si="31"/>
        <v>3569055507</v>
      </c>
      <c r="M837" s="20">
        <f t="shared" ref="M837:M900" si="32">L837/2^32</f>
        <v>0.830985490931198</v>
      </c>
    </row>
    <row r="838" spans="12:13">
      <c r="L838" s="6">
        <f t="shared" si="31"/>
        <v>1888074132</v>
      </c>
      <c r="M838" s="20">
        <f t="shared" si="32"/>
        <v>0.43960151541978121</v>
      </c>
    </row>
    <row r="839" spans="12:13">
      <c r="L839" s="6">
        <f t="shared" si="31"/>
        <v>755453728</v>
      </c>
      <c r="M839" s="20">
        <f t="shared" si="32"/>
        <v>0.17589277774095535</v>
      </c>
    </row>
    <row r="840" spans="12:13">
      <c r="L840" s="6">
        <f t="shared" si="31"/>
        <v>3130516285</v>
      </c>
      <c r="M840" s="20">
        <f t="shared" si="32"/>
        <v>0.72888012160547078</v>
      </c>
    </row>
    <row r="841" spans="12:13">
      <c r="L841" s="6">
        <f t="shared" si="31"/>
        <v>2651515316</v>
      </c>
      <c r="M841" s="20">
        <f t="shared" si="32"/>
        <v>0.61735401768237352</v>
      </c>
    </row>
    <row r="842" spans="12:13">
      <c r="L842" s="6">
        <f t="shared" si="31"/>
        <v>3011338432</v>
      </c>
      <c r="M842" s="20">
        <f t="shared" si="32"/>
        <v>0.70113186538219452</v>
      </c>
    </row>
    <row r="843" spans="12:13">
      <c r="L843" s="6">
        <f t="shared" si="31"/>
        <v>3345803356</v>
      </c>
      <c r="M843" s="20">
        <f t="shared" si="32"/>
        <v>0.77900554891675711</v>
      </c>
    </row>
    <row r="844" spans="12:13">
      <c r="L844" s="6">
        <f t="shared" si="31"/>
        <v>1809585992</v>
      </c>
      <c r="M844" s="20">
        <f t="shared" si="32"/>
        <v>0.42132707126438618</v>
      </c>
    </row>
    <row r="845" spans="12:13">
      <c r="L845" s="6">
        <f t="shared" si="31"/>
        <v>2831308100</v>
      </c>
      <c r="M845" s="20">
        <f t="shared" si="32"/>
        <v>0.65921528730541468</v>
      </c>
    </row>
    <row r="846" spans="12:13">
      <c r="L846" s="6">
        <f t="shared" si="31"/>
        <v>1246406416</v>
      </c>
      <c r="M846" s="20">
        <f t="shared" si="32"/>
        <v>0.29020160809159279</v>
      </c>
    </row>
    <row r="847" spans="12:13">
      <c r="L847" s="6">
        <f t="shared" si="31"/>
        <v>1950354028</v>
      </c>
      <c r="M847" s="20">
        <f t="shared" si="32"/>
        <v>0.45410218369215727</v>
      </c>
    </row>
    <row r="848" spans="12:13">
      <c r="L848" s="6">
        <f t="shared" si="31"/>
        <v>1603936792</v>
      </c>
      <c r="M848" s="20">
        <f t="shared" si="32"/>
        <v>0.37344563566148281</v>
      </c>
    </row>
    <row r="849" spans="12:13">
      <c r="L849" s="6">
        <f t="shared" si="31"/>
        <v>3292393940</v>
      </c>
      <c r="M849" s="20">
        <f t="shared" si="32"/>
        <v>0.76657020021229982</v>
      </c>
    </row>
    <row r="850" spans="12:13">
      <c r="L850" s="6">
        <f t="shared" si="31"/>
        <v>3232983648</v>
      </c>
      <c r="M850" s="20">
        <f t="shared" si="32"/>
        <v>0.75273766368627548</v>
      </c>
    </row>
    <row r="851" spans="12:13">
      <c r="L851" s="6">
        <f t="shared" si="31"/>
        <v>1851360636</v>
      </c>
      <c r="M851" s="20">
        <f t="shared" si="32"/>
        <v>0.43105348851531744</v>
      </c>
    </row>
    <row r="852" spans="12:13">
      <c r="L852" s="6">
        <f t="shared" si="31"/>
        <v>601338344</v>
      </c>
      <c r="M852" s="20">
        <f t="shared" si="32"/>
        <v>0.14000999368727207</v>
      </c>
    </row>
    <row r="853" spans="12:13">
      <c r="L853" s="6">
        <f t="shared" si="31"/>
        <v>2587643749</v>
      </c>
      <c r="M853" s="20">
        <f t="shared" si="32"/>
        <v>0.60248275962658226</v>
      </c>
    </row>
    <row r="854" spans="12:13">
      <c r="L854" s="6">
        <f t="shared" si="31"/>
        <v>3786715068</v>
      </c>
      <c r="M854" s="20">
        <f t="shared" si="32"/>
        <v>0.8816633066162467</v>
      </c>
    </row>
    <row r="855" spans="12:13">
      <c r="L855" s="6">
        <f t="shared" si="31"/>
        <v>1779963688</v>
      </c>
      <c r="M855" s="20">
        <f t="shared" si="32"/>
        <v>0.41443009115755558</v>
      </c>
    </row>
    <row r="856" spans="12:13">
      <c r="L856" s="6">
        <f t="shared" si="31"/>
        <v>3990336420</v>
      </c>
      <c r="M856" s="20">
        <f t="shared" si="32"/>
        <v>0.92907259706407785</v>
      </c>
    </row>
    <row r="857" spans="12:13">
      <c r="L857" s="6">
        <f t="shared" si="31"/>
        <v>3115995632</v>
      </c>
      <c r="M857" s="20">
        <f t="shared" si="32"/>
        <v>0.72549926862120628</v>
      </c>
    </row>
    <row r="858" spans="12:13">
      <c r="L858" s="6">
        <f t="shared" si="31"/>
        <v>3587971020</v>
      </c>
      <c r="M858" s="20">
        <f t="shared" si="32"/>
        <v>0.83538960199803114</v>
      </c>
    </row>
    <row r="859" spans="12:13">
      <c r="L859" s="6">
        <f t="shared" si="31"/>
        <v>1285271544</v>
      </c>
      <c r="M859" s="20">
        <f t="shared" si="32"/>
        <v>0.29925060085952282</v>
      </c>
    </row>
    <row r="860" spans="12:13">
      <c r="L860" s="6">
        <f t="shared" si="31"/>
        <v>1220642356</v>
      </c>
      <c r="M860" s="20">
        <f t="shared" si="32"/>
        <v>0.28420294541865587</v>
      </c>
    </row>
    <row r="861" spans="12:13">
      <c r="L861" s="6">
        <f t="shared" si="31"/>
        <v>518640448</v>
      </c>
      <c r="M861" s="20">
        <f t="shared" si="32"/>
        <v>0.1207553893327713</v>
      </c>
    </row>
    <row r="862" spans="12:13">
      <c r="L862" s="6">
        <f t="shared" si="31"/>
        <v>3059955933</v>
      </c>
      <c r="M862" s="20">
        <f t="shared" si="32"/>
        <v>0.71245150943286717</v>
      </c>
    </row>
    <row r="863" spans="12:13">
      <c r="L863" s="6">
        <f t="shared" ref="L863:L926" si="33">MOD($I$13*L862+$J$13,2^32)</f>
        <v>2772984532</v>
      </c>
      <c r="M863" s="20">
        <f t="shared" si="32"/>
        <v>0.64563577342778444</v>
      </c>
    </row>
    <row r="864" spans="12:13">
      <c r="L864" s="6">
        <f t="shared" si="33"/>
        <v>2669684576</v>
      </c>
      <c r="M864" s="20">
        <f t="shared" si="32"/>
        <v>0.62158437818288803</v>
      </c>
    </row>
    <row r="865" spans="12:13">
      <c r="L865" s="6">
        <f t="shared" si="33"/>
        <v>1585454716</v>
      </c>
      <c r="M865" s="20">
        <f t="shared" si="32"/>
        <v>0.36914244201034307</v>
      </c>
    </row>
    <row r="866" spans="12:13">
      <c r="L866" s="6">
        <f t="shared" si="33"/>
        <v>2264561384</v>
      </c>
      <c r="M866" s="20">
        <f t="shared" si="32"/>
        <v>0.52725928463041782</v>
      </c>
    </row>
    <row r="867" spans="12:13">
      <c r="L867" s="6">
        <f t="shared" si="33"/>
        <v>4081668196</v>
      </c>
      <c r="M867" s="20">
        <f t="shared" si="32"/>
        <v>0.9503374332562089</v>
      </c>
    </row>
    <row r="868" spans="12:13">
      <c r="L868" s="6">
        <f t="shared" si="33"/>
        <v>395511728</v>
      </c>
      <c r="M868" s="20">
        <f t="shared" si="32"/>
        <v>9.2087250202894211E-2</v>
      </c>
    </row>
    <row r="869" spans="12:13">
      <c r="L869" s="6">
        <f t="shared" si="33"/>
        <v>4238217869</v>
      </c>
      <c r="M869" s="20">
        <f t="shared" si="32"/>
        <v>0.98678699438460171</v>
      </c>
    </row>
    <row r="870" spans="12:13">
      <c r="L870" s="6">
        <f t="shared" si="33"/>
        <v>3497976004</v>
      </c>
      <c r="M870" s="20">
        <f t="shared" si="32"/>
        <v>0.81443600449711084</v>
      </c>
    </row>
    <row r="871" spans="12:13">
      <c r="L871" s="6">
        <f t="shared" si="33"/>
        <v>3523165328</v>
      </c>
      <c r="M871" s="20">
        <f t="shared" si="32"/>
        <v>0.82030085101723671</v>
      </c>
    </row>
    <row r="872" spans="12:13">
      <c r="L872" s="6">
        <f t="shared" si="33"/>
        <v>815735276</v>
      </c>
      <c r="M872" s="20">
        <f t="shared" si="32"/>
        <v>0.18992816936224699</v>
      </c>
    </row>
    <row r="873" spans="12:13">
      <c r="L873" s="6">
        <f t="shared" si="33"/>
        <v>3565933465</v>
      </c>
      <c r="M873" s="20">
        <f t="shared" si="32"/>
        <v>0.83025858388282359</v>
      </c>
    </row>
    <row r="874" spans="12:13">
      <c r="L874" s="6">
        <f t="shared" si="33"/>
        <v>2785225312</v>
      </c>
      <c r="M874" s="20">
        <f t="shared" si="32"/>
        <v>0.64848580211400986</v>
      </c>
    </row>
    <row r="875" spans="12:13">
      <c r="L875" s="6">
        <f t="shared" si="33"/>
        <v>3055961468</v>
      </c>
      <c r="M875" s="20">
        <f t="shared" si="32"/>
        <v>0.71152147557586432</v>
      </c>
    </row>
    <row r="876" spans="12:13">
      <c r="L876" s="6">
        <f t="shared" si="33"/>
        <v>3439161832</v>
      </c>
      <c r="M876" s="20">
        <f t="shared" si="32"/>
        <v>0.80074226297438145</v>
      </c>
    </row>
    <row r="877" spans="12:13">
      <c r="L877" s="6">
        <f t="shared" si="33"/>
        <v>568790884</v>
      </c>
      <c r="M877" s="20">
        <f t="shared" si="32"/>
        <v>0.1324319476261735</v>
      </c>
    </row>
    <row r="878" spans="12:13">
      <c r="L878" s="6">
        <f t="shared" si="33"/>
        <v>3198204593</v>
      </c>
      <c r="M878" s="20">
        <f t="shared" si="32"/>
        <v>0.74464003392495215</v>
      </c>
    </row>
    <row r="879" spans="12:13">
      <c r="L879" s="6">
        <f t="shared" si="33"/>
        <v>4116635288</v>
      </c>
      <c r="M879" s="20">
        <f t="shared" si="32"/>
        <v>0.95847884379327297</v>
      </c>
    </row>
    <row r="880" spans="12:13">
      <c r="L880" s="6">
        <f t="shared" si="33"/>
        <v>4227990612</v>
      </c>
      <c r="M880" s="20">
        <f t="shared" si="32"/>
        <v>0.98440577555447817</v>
      </c>
    </row>
    <row r="881" spans="12:13">
      <c r="L881" s="6">
        <f t="shared" si="33"/>
        <v>1681709792</v>
      </c>
      <c r="M881" s="20">
        <f t="shared" si="32"/>
        <v>0.39155357331037521</v>
      </c>
    </row>
    <row r="882" spans="12:13">
      <c r="L882" s="6">
        <f t="shared" si="33"/>
        <v>3093216252</v>
      </c>
      <c r="M882" s="20">
        <f t="shared" si="32"/>
        <v>0.7201955309137702</v>
      </c>
    </row>
    <row r="883" spans="12:13">
      <c r="L883" s="6">
        <f t="shared" si="33"/>
        <v>2669934184</v>
      </c>
      <c r="M883" s="20">
        <f t="shared" si="32"/>
        <v>0.62164249457418919</v>
      </c>
    </row>
    <row r="884" spans="12:13">
      <c r="L884" s="6">
        <f t="shared" si="33"/>
        <v>3305785828</v>
      </c>
      <c r="M884" s="20">
        <f t="shared" si="32"/>
        <v>0.76968824211508036</v>
      </c>
    </row>
    <row r="885" spans="12:13">
      <c r="L885" s="6">
        <f t="shared" si="33"/>
        <v>4115084080</v>
      </c>
      <c r="M885" s="20">
        <f t="shared" si="32"/>
        <v>0.95811767503619194</v>
      </c>
    </row>
    <row r="886" spans="12:13">
      <c r="L886" s="6">
        <f t="shared" si="33"/>
        <v>906348556</v>
      </c>
      <c r="M886" s="20">
        <f t="shared" si="32"/>
        <v>0.2110257176682353</v>
      </c>
    </row>
    <row r="887" spans="12:13">
      <c r="L887" s="6">
        <f t="shared" si="33"/>
        <v>404153145</v>
      </c>
      <c r="M887" s="20">
        <f t="shared" si="32"/>
        <v>9.4099236885085702E-2</v>
      </c>
    </row>
    <row r="888" spans="12:13">
      <c r="L888" s="6">
        <f t="shared" si="33"/>
        <v>645862786</v>
      </c>
      <c r="M888" s="20">
        <f t="shared" si="32"/>
        <v>0.15037664817646146</v>
      </c>
    </row>
    <row r="889" spans="12:13">
      <c r="L889" s="6">
        <f t="shared" si="33"/>
        <v>2140028983</v>
      </c>
      <c r="M889" s="20">
        <f t="shared" si="32"/>
        <v>0.49826432554982603</v>
      </c>
    </row>
    <row r="890" spans="12:13">
      <c r="L890" s="6">
        <f t="shared" si="33"/>
        <v>3998245992</v>
      </c>
      <c r="M890" s="20">
        <f t="shared" si="32"/>
        <v>0.93091418780386448</v>
      </c>
    </row>
    <row r="891" spans="12:13">
      <c r="L891" s="6">
        <f t="shared" si="33"/>
        <v>3323060196</v>
      </c>
      <c r="M891" s="20">
        <f t="shared" si="32"/>
        <v>0.77371024433523417</v>
      </c>
    </row>
    <row r="892" spans="12:13">
      <c r="L892" s="6">
        <f t="shared" si="33"/>
        <v>3384267056</v>
      </c>
      <c r="M892" s="20">
        <f t="shared" si="32"/>
        <v>0.78796107694506645</v>
      </c>
    </row>
    <row r="893" spans="12:13">
      <c r="L893" s="6">
        <f t="shared" si="33"/>
        <v>24366604</v>
      </c>
      <c r="M893" s="20">
        <f t="shared" si="32"/>
        <v>5.6732920929789543E-3</v>
      </c>
    </row>
    <row r="894" spans="12:13">
      <c r="L894" s="6">
        <f t="shared" si="33"/>
        <v>820719929</v>
      </c>
      <c r="M894" s="20">
        <f t="shared" si="32"/>
        <v>0.19108874932862818</v>
      </c>
    </row>
    <row r="895" spans="12:13">
      <c r="L895" s="6">
        <f t="shared" si="33"/>
        <v>913116034</v>
      </c>
      <c r="M895" s="20">
        <f t="shared" si="32"/>
        <v>0.2126013939268887</v>
      </c>
    </row>
    <row r="896" spans="12:13">
      <c r="L896" s="6">
        <f t="shared" si="33"/>
        <v>2542911031</v>
      </c>
      <c r="M896" s="20">
        <f t="shared" si="32"/>
        <v>0.59206761210225523</v>
      </c>
    </row>
    <row r="897" spans="12:13">
      <c r="L897" s="6">
        <f t="shared" si="33"/>
        <v>546556520</v>
      </c>
      <c r="M897" s="20">
        <f t="shared" si="32"/>
        <v>0.12725510634481907</v>
      </c>
    </row>
    <row r="898" spans="12:13">
      <c r="L898" s="6">
        <f t="shared" si="33"/>
        <v>2493255141</v>
      </c>
      <c r="M898" s="20">
        <f t="shared" si="32"/>
        <v>0.58050619927234948</v>
      </c>
    </row>
    <row r="899" spans="12:13">
      <c r="L899" s="6">
        <f t="shared" si="33"/>
        <v>3418479676</v>
      </c>
      <c r="M899" s="20">
        <f t="shared" si="32"/>
        <v>0.79592682328075171</v>
      </c>
    </row>
    <row r="900" spans="12:13">
      <c r="L900" s="6">
        <f t="shared" si="33"/>
        <v>2964969896</v>
      </c>
      <c r="M900" s="20">
        <f t="shared" si="32"/>
        <v>0.69033584930002689</v>
      </c>
    </row>
    <row r="901" spans="12:13">
      <c r="L901" s="6">
        <f t="shared" si="33"/>
        <v>1611863076</v>
      </c>
      <c r="M901" s="20">
        <f t="shared" ref="M901:M964" si="34">L901/2^32</f>
        <v>0.37529111746698618</v>
      </c>
    </row>
    <row r="902" spans="12:13">
      <c r="L902" s="6">
        <f t="shared" si="33"/>
        <v>1635301488</v>
      </c>
      <c r="M902" s="20">
        <f t="shared" si="34"/>
        <v>0.38074829801917076</v>
      </c>
    </row>
    <row r="903" spans="12:13">
      <c r="L903" s="6">
        <f t="shared" si="33"/>
        <v>3531590732</v>
      </c>
      <c r="M903" s="20">
        <f t="shared" si="34"/>
        <v>0.8222625432536006</v>
      </c>
    </row>
    <row r="904" spans="12:13">
      <c r="L904" s="6">
        <f t="shared" si="33"/>
        <v>1795840632</v>
      </c>
      <c r="M904" s="20">
        <f t="shared" si="34"/>
        <v>0.41812673024833202</v>
      </c>
    </row>
    <row r="905" spans="12:13">
      <c r="L905" s="6">
        <f t="shared" si="33"/>
        <v>2825694900</v>
      </c>
      <c r="M905" s="20">
        <f t="shared" si="34"/>
        <v>0.65790836233645678</v>
      </c>
    </row>
    <row r="906" spans="12:13">
      <c r="L906" s="6">
        <f t="shared" si="33"/>
        <v>364732864</v>
      </c>
      <c r="M906" s="20">
        <f t="shared" si="34"/>
        <v>8.4920987486839294E-2</v>
      </c>
    </row>
    <row r="907" spans="12:13">
      <c r="L907" s="6">
        <f t="shared" si="33"/>
        <v>2221012317</v>
      </c>
      <c r="M907" s="20">
        <f t="shared" si="34"/>
        <v>0.51711972733028233</v>
      </c>
    </row>
    <row r="908" spans="12:13">
      <c r="L908" s="6">
        <f t="shared" si="33"/>
        <v>3120461140</v>
      </c>
      <c r="M908" s="20">
        <f t="shared" si="34"/>
        <v>0.72653897572308779</v>
      </c>
    </row>
    <row r="909" spans="12:13">
      <c r="L909" s="6">
        <f t="shared" si="33"/>
        <v>2498992096</v>
      </c>
      <c r="M909" s="20">
        <f t="shared" si="34"/>
        <v>0.58184193819761276</v>
      </c>
    </row>
    <row r="910" spans="12:13">
      <c r="L910" s="6">
        <f t="shared" si="33"/>
        <v>675763452</v>
      </c>
      <c r="M910" s="20">
        <f t="shared" si="34"/>
        <v>0.15733843948692083</v>
      </c>
    </row>
    <row r="911" spans="12:13">
      <c r="L911" s="6">
        <f t="shared" si="33"/>
        <v>2837494633</v>
      </c>
      <c r="M911" s="20">
        <f t="shared" si="34"/>
        <v>0.66065570176579058</v>
      </c>
    </row>
    <row r="912" spans="12:13">
      <c r="L912" s="6">
        <f t="shared" si="33"/>
        <v>3114860528</v>
      </c>
      <c r="M912" s="20">
        <f t="shared" si="34"/>
        <v>0.7252349816262722</v>
      </c>
    </row>
    <row r="913" spans="12:13">
      <c r="L913" s="6">
        <f t="shared" si="33"/>
        <v>3892374988</v>
      </c>
      <c r="M913" s="20">
        <f t="shared" si="34"/>
        <v>0.90626417379826307</v>
      </c>
    </row>
    <row r="914" spans="12:13">
      <c r="L914" s="6">
        <f t="shared" si="33"/>
        <v>1841860088</v>
      </c>
      <c r="M914" s="20">
        <f t="shared" si="34"/>
        <v>0.42884146980941296</v>
      </c>
    </row>
    <row r="915" spans="12:13">
      <c r="L915" s="6">
        <f t="shared" si="33"/>
        <v>3539913780</v>
      </c>
      <c r="M915" s="20">
        <f t="shared" si="34"/>
        <v>0.82420040387660265</v>
      </c>
    </row>
    <row r="916" spans="12:13">
      <c r="L916" s="6">
        <f t="shared" si="33"/>
        <v>813982016</v>
      </c>
      <c r="M916" s="20">
        <f t="shared" si="34"/>
        <v>0.18951995670795441</v>
      </c>
    </row>
    <row r="917" spans="12:13">
      <c r="L917" s="6">
        <f t="shared" si="33"/>
        <v>1403154141</v>
      </c>
      <c r="M917" s="20">
        <f t="shared" si="34"/>
        <v>0.32669728179462254</v>
      </c>
    </row>
    <row r="918" spans="12:13">
      <c r="L918" s="6">
        <f t="shared" si="33"/>
        <v>481042644</v>
      </c>
      <c r="M918" s="20">
        <f t="shared" si="34"/>
        <v>0.11200146842747927</v>
      </c>
    </row>
    <row r="919" spans="12:13">
      <c r="L919" s="6">
        <f t="shared" si="33"/>
        <v>1988545889</v>
      </c>
      <c r="M919" s="20">
        <f t="shared" si="34"/>
        <v>0.46299441927112639</v>
      </c>
    </row>
    <row r="920" spans="12:13">
      <c r="L920" s="6">
        <f t="shared" si="33"/>
        <v>1016349064</v>
      </c>
      <c r="M920" s="20">
        <f t="shared" si="34"/>
        <v>0.23663720674812794</v>
      </c>
    </row>
    <row r="921" spans="12:13">
      <c r="L921" s="6">
        <f t="shared" si="33"/>
        <v>1841019525</v>
      </c>
      <c r="M921" s="20">
        <f t="shared" si="34"/>
        <v>0.42864576098509133</v>
      </c>
    </row>
    <row r="922" spans="12:13">
      <c r="L922" s="6">
        <f t="shared" si="33"/>
        <v>3670720604</v>
      </c>
      <c r="M922" s="20">
        <f t="shared" si="34"/>
        <v>0.85465624090284109</v>
      </c>
    </row>
    <row r="923" spans="12:13">
      <c r="L923" s="6">
        <f t="shared" si="33"/>
        <v>3914862408</v>
      </c>
      <c r="M923" s="20">
        <f t="shared" si="34"/>
        <v>0.91149993427097797</v>
      </c>
    </row>
    <row r="924" spans="12:13">
      <c r="L924" s="6">
        <f t="shared" si="33"/>
        <v>3060133188</v>
      </c>
      <c r="M924" s="20">
        <f t="shared" si="34"/>
        <v>0.71249277982860804</v>
      </c>
    </row>
    <row r="925" spans="12:13">
      <c r="L925" s="6">
        <f t="shared" si="33"/>
        <v>236019472</v>
      </c>
      <c r="M925" s="20">
        <f t="shared" si="34"/>
        <v>5.4952565580606461E-2</v>
      </c>
    </row>
    <row r="926" spans="12:13">
      <c r="L926" s="6">
        <f t="shared" si="33"/>
        <v>762274413</v>
      </c>
      <c r="M926" s="20">
        <f t="shared" si="34"/>
        <v>0.17748084221966565</v>
      </c>
    </row>
    <row r="927" spans="12:13">
      <c r="L927" s="6">
        <f t="shared" ref="L927:L990" si="35">MOD($I$13*L926+$J$13,2^32)</f>
        <v>3904458534</v>
      </c>
      <c r="M927" s="20">
        <f t="shared" si="34"/>
        <v>0.90907759359106421</v>
      </c>
    </row>
    <row r="928" spans="12:13">
      <c r="L928" s="6">
        <f t="shared" si="35"/>
        <v>530588044</v>
      </c>
      <c r="M928" s="20">
        <f t="shared" si="34"/>
        <v>0.1235371557995677</v>
      </c>
    </row>
    <row r="929" spans="12:13">
      <c r="L929" s="6">
        <f t="shared" si="35"/>
        <v>2092232377</v>
      </c>
      <c r="M929" s="20">
        <f t="shared" si="34"/>
        <v>0.48713581101037562</v>
      </c>
    </row>
    <row r="930" spans="12:13">
      <c r="L930" s="6">
        <f t="shared" si="35"/>
        <v>3039243008</v>
      </c>
      <c r="M930" s="20">
        <f t="shared" si="34"/>
        <v>0.70762890577316284</v>
      </c>
    </row>
    <row r="931" spans="12:13">
      <c r="L931" s="6">
        <f t="shared" si="35"/>
        <v>1053519260</v>
      </c>
      <c r="M931" s="20">
        <f t="shared" si="34"/>
        <v>0.24529156740754843</v>
      </c>
    </row>
    <row r="932" spans="12:13">
      <c r="L932" s="6">
        <f t="shared" si="35"/>
        <v>1788812169</v>
      </c>
      <c r="M932" s="20">
        <f t="shared" si="34"/>
        <v>0.41649028868414462</v>
      </c>
    </row>
    <row r="933" spans="12:13">
      <c r="L933" s="6">
        <f t="shared" si="35"/>
        <v>2531950992</v>
      </c>
      <c r="M933" s="20">
        <f t="shared" si="34"/>
        <v>0.58951577916741371</v>
      </c>
    </row>
    <row r="934" spans="12:13">
      <c r="L934" s="6">
        <f t="shared" si="35"/>
        <v>3277497068</v>
      </c>
      <c r="M934" s="20">
        <f t="shared" si="34"/>
        <v>0.76310175191611052</v>
      </c>
    </row>
    <row r="935" spans="12:13">
      <c r="L935" s="6">
        <f t="shared" si="35"/>
        <v>3645268120</v>
      </c>
      <c r="M935" s="20">
        <f t="shared" si="34"/>
        <v>0.84873012267053127</v>
      </c>
    </row>
    <row r="936" spans="12:13">
      <c r="L936" s="6">
        <f t="shared" si="35"/>
        <v>3148717652</v>
      </c>
      <c r="M936" s="20">
        <f t="shared" si="34"/>
        <v>0.73311795759946108</v>
      </c>
    </row>
    <row r="937" spans="12:13">
      <c r="L937" s="6">
        <f t="shared" si="35"/>
        <v>3654659296</v>
      </c>
      <c r="M937" s="20">
        <f t="shared" si="34"/>
        <v>0.85091667622327805</v>
      </c>
    </row>
    <row r="938" spans="12:13">
      <c r="L938" s="6">
        <f t="shared" si="35"/>
        <v>3952829948</v>
      </c>
      <c r="M938" s="20">
        <f t="shared" si="34"/>
        <v>0.92033994104713202</v>
      </c>
    </row>
    <row r="939" spans="12:13">
      <c r="L939" s="6">
        <f t="shared" si="35"/>
        <v>1936365672</v>
      </c>
      <c r="M939" s="20">
        <f t="shared" si="34"/>
        <v>0.4508452657610178</v>
      </c>
    </row>
    <row r="940" spans="12:13">
      <c r="L940" s="6">
        <f t="shared" si="35"/>
        <v>3676996580</v>
      </c>
      <c r="M940" s="20">
        <f t="shared" si="34"/>
        <v>0.85611748043447733</v>
      </c>
    </row>
    <row r="941" spans="12:13">
      <c r="L941" s="6">
        <f t="shared" si="35"/>
        <v>2750162224</v>
      </c>
      <c r="M941" s="20">
        <f t="shared" si="34"/>
        <v>0.64032204076647758</v>
      </c>
    </row>
    <row r="942" spans="12:13">
      <c r="L942" s="6">
        <f t="shared" si="35"/>
        <v>3246395916</v>
      </c>
      <c r="M942" s="20">
        <f t="shared" si="34"/>
        <v>0.75586045067757368</v>
      </c>
    </row>
    <row r="943" spans="12:13">
      <c r="L943" s="6">
        <f t="shared" si="35"/>
        <v>1503569208</v>
      </c>
      <c r="M943" s="20">
        <f t="shared" si="34"/>
        <v>0.35007698647677898</v>
      </c>
    </row>
    <row r="944" spans="12:13">
      <c r="L944" s="6">
        <f t="shared" si="35"/>
        <v>3020831348</v>
      </c>
      <c r="M944" s="20">
        <f t="shared" si="34"/>
        <v>0.70334210712462664</v>
      </c>
    </row>
    <row r="945" spans="12:13">
      <c r="L945" s="6">
        <f t="shared" si="35"/>
        <v>956316288</v>
      </c>
      <c r="M945" s="20">
        <f t="shared" si="34"/>
        <v>0.22265973687171936</v>
      </c>
    </row>
    <row r="946" spans="12:13">
      <c r="L946" s="6">
        <f t="shared" si="35"/>
        <v>424064797</v>
      </c>
      <c r="M946" s="20">
        <f t="shared" si="34"/>
        <v>9.8735279636457562E-2</v>
      </c>
    </row>
    <row r="947" spans="12:13">
      <c r="L947" s="6">
        <f t="shared" si="35"/>
        <v>618204182</v>
      </c>
      <c r="M947" s="20">
        <f t="shared" si="34"/>
        <v>0.14393687760457397</v>
      </c>
    </row>
    <row r="948" spans="12:13">
      <c r="L948" s="6">
        <f t="shared" si="35"/>
        <v>1491233211</v>
      </c>
      <c r="M948" s="20">
        <f t="shared" si="34"/>
        <v>0.34720478835515678</v>
      </c>
    </row>
    <row r="949" spans="12:13">
      <c r="L949" s="6">
        <f t="shared" si="35"/>
        <v>292344860</v>
      </c>
      <c r="M949" s="20">
        <f t="shared" si="34"/>
        <v>6.8066841922700405E-2</v>
      </c>
    </row>
    <row r="950" spans="12:13">
      <c r="L950" s="6">
        <f t="shared" si="35"/>
        <v>331993097</v>
      </c>
      <c r="M950" s="20">
        <f t="shared" si="34"/>
        <v>7.7298166463151574E-2</v>
      </c>
    </row>
    <row r="951" spans="12:13">
      <c r="L951" s="6">
        <f t="shared" si="35"/>
        <v>3946064914</v>
      </c>
      <c r="M951" s="20">
        <f t="shared" si="34"/>
        <v>0.9187648338265717</v>
      </c>
    </row>
    <row r="952" spans="12:13">
      <c r="L952" s="6">
        <f t="shared" si="35"/>
        <v>3072603524</v>
      </c>
      <c r="M952" s="20">
        <f t="shared" si="34"/>
        <v>0.71539625618606806</v>
      </c>
    </row>
    <row r="953" spans="12:13">
      <c r="L953" s="6">
        <f t="shared" si="35"/>
        <v>2022722128</v>
      </c>
      <c r="M953" s="20">
        <f t="shared" si="34"/>
        <v>0.47095169499516487</v>
      </c>
    </row>
    <row r="954" spans="12:13">
      <c r="L954" s="6">
        <f t="shared" si="35"/>
        <v>116757676</v>
      </c>
      <c r="M954" s="20">
        <f t="shared" si="34"/>
        <v>2.7184764854609966E-2</v>
      </c>
    </row>
    <row r="955" spans="12:13">
      <c r="L955" s="6">
        <f t="shared" si="35"/>
        <v>3276891993</v>
      </c>
      <c r="M955" s="20">
        <f t="shared" si="34"/>
        <v>0.76296087191440165</v>
      </c>
    </row>
    <row r="956" spans="12:13">
      <c r="L956" s="6">
        <f t="shared" si="35"/>
        <v>3284298528</v>
      </c>
      <c r="M956" s="20">
        <f t="shared" si="34"/>
        <v>0.76468534022569656</v>
      </c>
    </row>
    <row r="957" spans="12:13">
      <c r="L957" s="6">
        <f t="shared" si="35"/>
        <v>2430881596</v>
      </c>
      <c r="M957" s="20">
        <f t="shared" si="34"/>
        <v>0.56598372664302588</v>
      </c>
    </row>
    <row r="958" spans="12:13">
      <c r="L958" s="6">
        <f t="shared" si="35"/>
        <v>466137256</v>
      </c>
      <c r="M958" s="20">
        <f t="shared" si="34"/>
        <v>0.1085310373455286</v>
      </c>
    </row>
    <row r="959" spans="12:13">
      <c r="L959" s="6">
        <f t="shared" si="35"/>
        <v>4141285157</v>
      </c>
      <c r="M959" s="20">
        <f t="shared" si="34"/>
        <v>0.96421808865852654</v>
      </c>
    </row>
    <row r="960" spans="12:13">
      <c r="L960" s="6">
        <f t="shared" si="35"/>
        <v>605183100</v>
      </c>
      <c r="M960" s="20">
        <f t="shared" si="34"/>
        <v>0.14090517070144415</v>
      </c>
    </row>
    <row r="961" spans="12:13">
      <c r="L961" s="6">
        <f t="shared" si="35"/>
        <v>3074268393</v>
      </c>
      <c r="M961" s="20">
        <f t="shared" si="34"/>
        <v>0.71578388870693743</v>
      </c>
    </row>
    <row r="962" spans="12:13">
      <c r="L962" s="6">
        <f t="shared" si="35"/>
        <v>3138384752</v>
      </c>
      <c r="M962" s="20">
        <f t="shared" si="34"/>
        <v>0.73071214184165001</v>
      </c>
    </row>
    <row r="963" spans="12:13">
      <c r="L963" s="6">
        <f t="shared" si="35"/>
        <v>2430913356</v>
      </c>
      <c r="M963" s="20">
        <f t="shared" si="34"/>
        <v>0.56599112134426832</v>
      </c>
    </row>
    <row r="964" spans="12:13">
      <c r="L964" s="6">
        <f t="shared" si="35"/>
        <v>4285943160</v>
      </c>
      <c r="M964" s="20">
        <f t="shared" si="34"/>
        <v>0.99789890460669994</v>
      </c>
    </row>
    <row r="965" spans="12:13">
      <c r="L965" s="6">
        <f t="shared" si="35"/>
        <v>297207220</v>
      </c>
      <c r="M965" s="20">
        <f t="shared" ref="M965:M1028" si="36">L965/2^32</f>
        <v>6.9198948331177235E-2</v>
      </c>
    </row>
    <row r="966" spans="12:13">
      <c r="L966" s="6">
        <f t="shared" si="35"/>
        <v>654757057</v>
      </c>
      <c r="M966" s="20">
        <f t="shared" si="36"/>
        <v>0.1524475070182234</v>
      </c>
    </row>
    <row r="967" spans="12:13">
      <c r="L967" s="6">
        <f t="shared" si="35"/>
        <v>1665341802</v>
      </c>
      <c r="M967" s="20">
        <f t="shared" si="36"/>
        <v>0.38774260366335511</v>
      </c>
    </row>
    <row r="968" spans="12:13">
      <c r="L968" s="6">
        <f t="shared" si="35"/>
        <v>475888384</v>
      </c>
      <c r="M968" s="20">
        <f t="shared" si="36"/>
        <v>0.11080139875411987</v>
      </c>
    </row>
    <row r="969" spans="12:13">
      <c r="L969" s="6">
        <f t="shared" si="35"/>
        <v>2468183453</v>
      </c>
      <c r="M969" s="20">
        <f t="shared" si="36"/>
        <v>0.57466874201782048</v>
      </c>
    </row>
    <row r="970" spans="12:13">
      <c r="L970" s="6">
        <f t="shared" si="35"/>
        <v>2828640404</v>
      </c>
      <c r="M970" s="20">
        <f t="shared" si="36"/>
        <v>0.65859416592866182</v>
      </c>
    </row>
    <row r="971" spans="12:13">
      <c r="L971" s="6">
        <f t="shared" si="35"/>
        <v>3710454304</v>
      </c>
      <c r="M971" s="20">
        <f t="shared" si="36"/>
        <v>0.86390746384859085</v>
      </c>
    </row>
    <row r="972" spans="12:13">
      <c r="L972" s="6">
        <f t="shared" si="35"/>
        <v>1250255420</v>
      </c>
      <c r="M972" s="20">
        <f t="shared" si="36"/>
        <v>0.29109777417033911</v>
      </c>
    </row>
    <row r="973" spans="12:13">
      <c r="L973" s="6">
        <f t="shared" si="35"/>
        <v>3630540712</v>
      </c>
      <c r="M973" s="20">
        <f t="shared" si="36"/>
        <v>0.84530113078653812</v>
      </c>
    </row>
    <row r="974" spans="12:13">
      <c r="L974" s="6">
        <f t="shared" si="35"/>
        <v>242387492</v>
      </c>
      <c r="M974" s="20">
        <f t="shared" si="36"/>
        <v>5.6435235776007175E-2</v>
      </c>
    </row>
    <row r="975" spans="12:13">
      <c r="L975" s="6">
        <f t="shared" si="35"/>
        <v>1153414769</v>
      </c>
      <c r="M975" s="20">
        <f t="shared" si="36"/>
        <v>0.26855030306614935</v>
      </c>
    </row>
    <row r="976" spans="12:13">
      <c r="L976" s="6">
        <f t="shared" si="35"/>
        <v>2435868504</v>
      </c>
      <c r="M976" s="20">
        <f t="shared" si="36"/>
        <v>0.56714483164250851</v>
      </c>
    </row>
    <row r="977" spans="12:13">
      <c r="L977" s="6">
        <f t="shared" si="35"/>
        <v>3801462292</v>
      </c>
      <c r="M977" s="20">
        <f t="shared" si="36"/>
        <v>0.88509691227227449</v>
      </c>
    </row>
    <row r="978" spans="12:13">
      <c r="L978" s="6">
        <f t="shared" si="35"/>
        <v>3031015840</v>
      </c>
      <c r="M978" s="20">
        <f t="shared" si="36"/>
        <v>0.70571336895227432</v>
      </c>
    </row>
    <row r="979" spans="12:13">
      <c r="L979" s="6">
        <f t="shared" si="35"/>
        <v>1336579004</v>
      </c>
      <c r="M979" s="20">
        <f t="shared" si="36"/>
        <v>0.31119654979556799</v>
      </c>
    </row>
    <row r="980" spans="12:13">
      <c r="L980" s="6">
        <f t="shared" si="35"/>
        <v>4123568936</v>
      </c>
      <c r="M980" s="20">
        <f t="shared" si="36"/>
        <v>0.96009320951998234</v>
      </c>
    </row>
    <row r="981" spans="12:13">
      <c r="L981" s="6">
        <f t="shared" si="35"/>
        <v>1249064868</v>
      </c>
      <c r="M981" s="20">
        <f t="shared" si="36"/>
        <v>0.29082057718187571</v>
      </c>
    </row>
    <row r="982" spans="12:13">
      <c r="L982" s="6">
        <f t="shared" si="35"/>
        <v>3723757040</v>
      </c>
      <c r="M982" s="20">
        <f t="shared" si="36"/>
        <v>0.86700474843382835</v>
      </c>
    </row>
    <row r="983" spans="12:13">
      <c r="L983" s="6">
        <f t="shared" si="35"/>
        <v>3306044364</v>
      </c>
      <c r="M983" s="20">
        <f t="shared" si="36"/>
        <v>0.76974843721836805</v>
      </c>
    </row>
    <row r="984" spans="12:13">
      <c r="L984" s="6">
        <f t="shared" si="35"/>
        <v>3248194552</v>
      </c>
      <c r="M984" s="20">
        <f t="shared" si="36"/>
        <v>0.7562792282551527</v>
      </c>
    </row>
    <row r="985" spans="12:13">
      <c r="L985" s="6">
        <f t="shared" si="35"/>
        <v>1185106484</v>
      </c>
      <c r="M985" s="20">
        <f t="shared" si="36"/>
        <v>0.27592910546809435</v>
      </c>
    </row>
    <row r="986" spans="12:13">
      <c r="L986" s="6">
        <f t="shared" si="35"/>
        <v>3740583744</v>
      </c>
      <c r="M986" s="20">
        <f t="shared" si="36"/>
        <v>0.8709225207567215</v>
      </c>
    </row>
    <row r="987" spans="12:13">
      <c r="L987" s="6">
        <f t="shared" si="35"/>
        <v>1098226908</v>
      </c>
      <c r="M987" s="20">
        <f t="shared" si="36"/>
        <v>0.25570087786763906</v>
      </c>
    </row>
    <row r="988" spans="12:13">
      <c r="L988" s="6">
        <f t="shared" si="35"/>
        <v>1366016456</v>
      </c>
      <c r="M988" s="20">
        <f t="shared" si="36"/>
        <v>0.31805049069225788</v>
      </c>
    </row>
    <row r="989" spans="12:13">
      <c r="L989" s="6">
        <f t="shared" si="35"/>
        <v>2048556484</v>
      </c>
      <c r="M989" s="20">
        <f t="shared" si="36"/>
        <v>0.47696672473102808</v>
      </c>
    </row>
    <row r="990" spans="12:13">
      <c r="L990" s="6">
        <f t="shared" si="35"/>
        <v>1474770320</v>
      </c>
      <c r="M990" s="20">
        <f t="shared" si="36"/>
        <v>0.34337172284722328</v>
      </c>
    </row>
    <row r="991" spans="12:13">
      <c r="L991" s="6">
        <f t="shared" ref="L991:L1054" si="37">MOD($I$13*L990+$J$13,2^32)</f>
        <v>2272511724</v>
      </c>
      <c r="M991" s="20">
        <f t="shared" si="36"/>
        <v>0.52911036740988493</v>
      </c>
    </row>
    <row r="992" spans="12:13">
      <c r="L992" s="6">
        <f t="shared" si="37"/>
        <v>1895904408</v>
      </c>
      <c r="M992" s="20">
        <f t="shared" si="36"/>
        <v>0.44142464362084866</v>
      </c>
    </row>
    <row r="993" spans="12:13">
      <c r="L993" s="6">
        <f t="shared" si="37"/>
        <v>3020841556</v>
      </c>
      <c r="M993" s="20">
        <f t="shared" si="36"/>
        <v>0.70334448385983706</v>
      </c>
    </row>
    <row r="994" spans="12:13">
      <c r="L994" s="6">
        <f t="shared" si="37"/>
        <v>492019936</v>
      </c>
      <c r="M994" s="20">
        <f t="shared" si="36"/>
        <v>0.11455731838941574</v>
      </c>
    </row>
    <row r="995" spans="12:13">
      <c r="L995" s="6">
        <f t="shared" si="37"/>
        <v>1921305085</v>
      </c>
      <c r="M995" s="20">
        <f t="shared" si="36"/>
        <v>0.4473386995960027</v>
      </c>
    </row>
    <row r="996" spans="12:13">
      <c r="L996" s="6">
        <f t="shared" si="37"/>
        <v>3984089460</v>
      </c>
      <c r="M996" s="20">
        <f t="shared" si="36"/>
        <v>0.92761811334639788</v>
      </c>
    </row>
    <row r="997" spans="12:13">
      <c r="L997" s="6">
        <f t="shared" si="37"/>
        <v>2314679680</v>
      </c>
      <c r="M997" s="20">
        <f t="shared" si="36"/>
        <v>0.53892835974693298</v>
      </c>
    </row>
    <row r="998" spans="12:13">
      <c r="L998" s="6">
        <f t="shared" si="37"/>
        <v>1514698268</v>
      </c>
      <c r="M998" s="20">
        <f t="shared" si="36"/>
        <v>0.35266817267984152</v>
      </c>
    </row>
    <row r="999" spans="12:13">
      <c r="L999" s="6">
        <f t="shared" si="37"/>
        <v>1853557256</v>
      </c>
      <c r="M999" s="20">
        <f t="shared" si="36"/>
        <v>0.4315649289637804</v>
      </c>
    </row>
    <row r="1000" spans="12:13">
      <c r="L1000" s="6">
        <f t="shared" si="37"/>
        <v>2578868484</v>
      </c>
      <c r="M1000" s="20">
        <f t="shared" si="36"/>
        <v>0.60043960902839899</v>
      </c>
    </row>
    <row r="1001" spans="12:13">
      <c r="L1001" s="6">
        <f t="shared" si="37"/>
        <v>3840305104</v>
      </c>
      <c r="M1001" s="20">
        <f t="shared" si="36"/>
        <v>0.89414070919156075</v>
      </c>
    </row>
    <row r="1002" spans="12:13">
      <c r="L1002" s="6">
        <f t="shared" si="37"/>
        <v>212898860</v>
      </c>
      <c r="M1002" s="20">
        <f t="shared" si="36"/>
        <v>4.9569378606975079E-2</v>
      </c>
    </row>
    <row r="1003" spans="12:13">
      <c r="L1003" s="6">
        <f t="shared" si="37"/>
        <v>83222745</v>
      </c>
      <c r="M1003" s="20">
        <f t="shared" si="36"/>
        <v>1.937680528499186E-2</v>
      </c>
    </row>
    <row r="1004" spans="12:13">
      <c r="L1004" s="6">
        <f t="shared" si="37"/>
        <v>2844006050</v>
      </c>
      <c r="M1004" s="20">
        <f t="shared" si="36"/>
        <v>0.66217175917699933</v>
      </c>
    </row>
    <row r="1005" spans="12:13">
      <c r="L1005" s="6">
        <f t="shared" si="37"/>
        <v>1065021140</v>
      </c>
      <c r="M1005" s="20">
        <f t="shared" si="36"/>
        <v>0.247969557531178</v>
      </c>
    </row>
    <row r="1006" spans="12:13">
      <c r="L1006" s="6">
        <f t="shared" si="37"/>
        <v>2762818401</v>
      </c>
      <c r="M1006" s="20">
        <f t="shared" si="36"/>
        <v>0.64326878660358489</v>
      </c>
    </row>
    <row r="1007" spans="12:13">
      <c r="L1007" s="6">
        <f t="shared" si="37"/>
        <v>1341538184</v>
      </c>
      <c r="M1007" s="20">
        <f t="shared" si="36"/>
        <v>0.31235119886696339</v>
      </c>
    </row>
    <row r="1008" spans="12:13">
      <c r="L1008" s="6">
        <f t="shared" si="37"/>
        <v>3024855172</v>
      </c>
      <c r="M1008" s="20">
        <f t="shared" si="36"/>
        <v>0.70427897665649652</v>
      </c>
    </row>
    <row r="1009" spans="12:13">
      <c r="L1009" s="6">
        <f t="shared" si="37"/>
        <v>1194834256</v>
      </c>
      <c r="M1009" s="20">
        <f t="shared" si="36"/>
        <v>0.27819402888417244</v>
      </c>
    </row>
    <row r="1010" spans="12:13">
      <c r="L1010" s="6">
        <f t="shared" si="37"/>
        <v>4159780780</v>
      </c>
      <c r="M1010" s="20">
        <f t="shared" si="36"/>
        <v>0.96852443646639585</v>
      </c>
    </row>
    <row r="1011" spans="12:13">
      <c r="L1011" s="6">
        <f t="shared" si="37"/>
        <v>3344412248</v>
      </c>
      <c r="M1011" s="20">
        <f t="shared" si="36"/>
        <v>0.77868165634572506</v>
      </c>
    </row>
    <row r="1012" spans="12:13">
      <c r="L1012" s="6">
        <f t="shared" si="37"/>
        <v>2697416980</v>
      </c>
      <c r="M1012" s="20">
        <f t="shared" si="36"/>
        <v>0.62804133165627718</v>
      </c>
    </row>
    <row r="1013" spans="12:13">
      <c r="L1013" s="6">
        <f t="shared" si="37"/>
        <v>1422229664</v>
      </c>
      <c r="M1013" s="20">
        <f t="shared" si="36"/>
        <v>0.33113864809274673</v>
      </c>
    </row>
    <row r="1014" spans="12:13">
      <c r="L1014" s="6">
        <f t="shared" si="37"/>
        <v>3334465212</v>
      </c>
      <c r="M1014" s="20">
        <f t="shared" si="36"/>
        <v>0.77636568155139685</v>
      </c>
    </row>
    <row r="1015" spans="12:13">
      <c r="L1015" s="6">
        <f t="shared" si="37"/>
        <v>1116529192</v>
      </c>
      <c r="M1015" s="20">
        <f t="shared" si="36"/>
        <v>0.25996221043169498</v>
      </c>
    </row>
    <row r="1016" spans="12:13">
      <c r="L1016" s="6">
        <f t="shared" si="37"/>
        <v>877462180</v>
      </c>
      <c r="M1016" s="20">
        <f t="shared" si="36"/>
        <v>0.20430008415132761</v>
      </c>
    </row>
    <row r="1017" spans="12:13">
      <c r="L1017" s="6">
        <f t="shared" si="37"/>
        <v>1871336689</v>
      </c>
      <c r="M1017" s="20">
        <f t="shared" si="36"/>
        <v>0.43570452579297125</v>
      </c>
    </row>
    <row r="1018" spans="12:13">
      <c r="L1018" s="6">
        <f t="shared" si="37"/>
        <v>2701849560</v>
      </c>
      <c r="M1018" s="20">
        <f t="shared" si="36"/>
        <v>0.62907337211072445</v>
      </c>
    </row>
    <row r="1019" spans="12:13">
      <c r="L1019" s="6">
        <f t="shared" si="37"/>
        <v>3917830292</v>
      </c>
      <c r="M1019" s="20">
        <f t="shared" si="36"/>
        <v>0.912190948612988</v>
      </c>
    </row>
    <row r="1020" spans="12:13">
      <c r="L1020" s="6">
        <f t="shared" si="37"/>
        <v>439968288</v>
      </c>
      <c r="M1020" s="20">
        <f t="shared" si="36"/>
        <v>0.10243809968233109</v>
      </c>
    </row>
    <row r="1021" spans="12:13">
      <c r="L1021" s="6">
        <f t="shared" si="37"/>
        <v>2593249853</v>
      </c>
      <c r="M1021" s="20">
        <f t="shared" si="36"/>
        <v>0.6037880324292928</v>
      </c>
    </row>
    <row r="1022" spans="12:13">
      <c r="L1022" s="6">
        <f t="shared" si="37"/>
        <v>1113552052</v>
      </c>
      <c r="M1022" s="20">
        <f t="shared" si="36"/>
        <v>0.2592690410092473</v>
      </c>
    </row>
    <row r="1023" spans="12:13">
      <c r="L1023" s="6">
        <f t="shared" si="37"/>
        <v>3339677632</v>
      </c>
      <c r="M1023" s="20">
        <f t="shared" si="36"/>
        <v>0.77757929265499115</v>
      </c>
    </row>
    <row r="1024" spans="12:13">
      <c r="L1024" s="6">
        <f t="shared" si="37"/>
        <v>2071112540</v>
      </c>
      <c r="M1024" s="20">
        <f t="shared" si="36"/>
        <v>0.48221846576780081</v>
      </c>
    </row>
    <row r="1025" spans="12:13">
      <c r="L1025" s="6">
        <f t="shared" si="37"/>
        <v>1611005512</v>
      </c>
      <c r="M1025" s="20">
        <f t="shared" si="36"/>
        <v>0.37509145028889179</v>
      </c>
    </row>
    <row r="1026" spans="12:13">
      <c r="L1026" s="6">
        <f t="shared" si="37"/>
        <v>1211502660</v>
      </c>
      <c r="M1026" s="20">
        <f t="shared" si="36"/>
        <v>0.28207494411617517</v>
      </c>
    </row>
    <row r="1027" spans="12:13">
      <c r="L1027" s="6">
        <f t="shared" si="37"/>
        <v>4217513488</v>
      </c>
      <c r="M1027" s="20">
        <f t="shared" si="36"/>
        <v>0.98196638002991676</v>
      </c>
    </row>
    <row r="1028" spans="12:13">
      <c r="L1028" s="6">
        <f t="shared" si="37"/>
        <v>272399724</v>
      </c>
      <c r="M1028" s="20">
        <f t="shared" si="36"/>
        <v>6.3423003070056438E-2</v>
      </c>
    </row>
    <row r="1029" spans="12:13">
      <c r="L1029" s="6">
        <f t="shared" si="37"/>
        <v>3585800473</v>
      </c>
      <c r="M1029" s="20">
        <f t="shared" ref="M1029:M1092" si="38">L1029/2^32</f>
        <v>0.83488423214294016</v>
      </c>
    </row>
    <row r="1030" spans="12:13">
      <c r="L1030" s="6">
        <f t="shared" si="37"/>
        <v>2775290336</v>
      </c>
      <c r="M1030" s="20">
        <f t="shared" si="38"/>
        <v>0.64617263525724411</v>
      </c>
    </row>
    <row r="1031" spans="12:13">
      <c r="L1031" s="6">
        <f t="shared" si="37"/>
        <v>3626043132</v>
      </c>
      <c r="M1031" s="20">
        <f t="shared" si="38"/>
        <v>0.84425395634025335</v>
      </c>
    </row>
    <row r="1032" spans="12:13">
      <c r="L1032" s="6">
        <f t="shared" si="37"/>
        <v>3490235752</v>
      </c>
      <c r="M1032" s="20">
        <f t="shared" si="38"/>
        <v>0.81263383664190769</v>
      </c>
    </row>
    <row r="1033" spans="12:13">
      <c r="L1033" s="6">
        <f t="shared" si="37"/>
        <v>3087256804</v>
      </c>
      <c r="M1033" s="20">
        <f t="shared" si="38"/>
        <v>0.71880798880010843</v>
      </c>
    </row>
    <row r="1034" spans="12:13">
      <c r="L1034" s="6">
        <f t="shared" si="37"/>
        <v>2995903024</v>
      </c>
      <c r="M1034" s="20">
        <f t="shared" si="38"/>
        <v>0.69753802940249443</v>
      </c>
    </row>
    <row r="1035" spans="12:13">
      <c r="L1035" s="6">
        <f t="shared" si="37"/>
        <v>1944273676</v>
      </c>
      <c r="M1035" s="20">
        <f t="shared" si="38"/>
        <v>0.45268649142235518</v>
      </c>
    </row>
    <row r="1036" spans="12:13">
      <c r="L1036" s="6">
        <f t="shared" si="37"/>
        <v>3645710904</v>
      </c>
      <c r="M1036" s="20">
        <f t="shared" si="38"/>
        <v>0.84883321635425091</v>
      </c>
    </row>
    <row r="1037" spans="12:13">
      <c r="L1037" s="6">
        <f t="shared" si="37"/>
        <v>2437649268</v>
      </c>
      <c r="M1037" s="20">
        <f t="shared" si="38"/>
        <v>0.56755944807082415</v>
      </c>
    </row>
    <row r="1038" spans="12:13">
      <c r="L1038" s="6">
        <f t="shared" si="37"/>
        <v>4228562816</v>
      </c>
      <c r="M1038" s="20">
        <f t="shared" si="38"/>
        <v>0.98453900218009949</v>
      </c>
    </row>
    <row r="1039" spans="12:13">
      <c r="L1039" s="6">
        <f t="shared" si="37"/>
        <v>1809348636</v>
      </c>
      <c r="M1039" s="20">
        <f t="shared" si="38"/>
        <v>0.42127180751413107</v>
      </c>
    </row>
    <row r="1040" spans="12:13">
      <c r="L1040" s="6">
        <f t="shared" si="37"/>
        <v>573907976</v>
      </c>
      <c r="M1040" s="20">
        <f t="shared" si="38"/>
        <v>0.13362336345016956</v>
      </c>
    </row>
    <row r="1041" spans="12:13">
      <c r="L1041" s="6">
        <f t="shared" si="37"/>
        <v>881572613</v>
      </c>
      <c r="M1041" s="20">
        <f t="shared" si="38"/>
        <v>0.20525711891241372</v>
      </c>
    </row>
    <row r="1042" spans="12:13">
      <c r="L1042" s="6">
        <f t="shared" si="37"/>
        <v>1127565022</v>
      </c>
      <c r="M1042" s="20">
        <f t="shared" si="38"/>
        <v>0.26253168983384967</v>
      </c>
    </row>
    <row r="1043" spans="12:13">
      <c r="L1043" s="6">
        <f t="shared" si="37"/>
        <v>1113116132</v>
      </c>
      <c r="M1043" s="20">
        <f t="shared" si="38"/>
        <v>0.25916754547506571</v>
      </c>
    </row>
    <row r="1044" spans="12:13">
      <c r="L1044" s="6">
        <f t="shared" si="37"/>
        <v>1368909616</v>
      </c>
      <c r="M1044" s="20">
        <f t="shared" si="38"/>
        <v>0.31872410699725151</v>
      </c>
    </row>
    <row r="1045" spans="12:13">
      <c r="L1045" s="6">
        <f t="shared" si="37"/>
        <v>1097001996</v>
      </c>
      <c r="M1045" s="20">
        <f t="shared" si="38"/>
        <v>0.25541568081825972</v>
      </c>
    </row>
    <row r="1046" spans="12:13">
      <c r="L1046" s="6">
        <f t="shared" si="37"/>
        <v>1648736056</v>
      </c>
      <c r="M1046" s="20">
        <f t="shared" si="38"/>
        <v>0.38387627713382244</v>
      </c>
    </row>
    <row r="1047" spans="12:13">
      <c r="L1047" s="6">
        <f t="shared" si="37"/>
        <v>843326580</v>
      </c>
      <c r="M1047" s="20">
        <f t="shared" si="38"/>
        <v>0.19635227043181658</v>
      </c>
    </row>
    <row r="1048" spans="12:13">
      <c r="L1048" s="6">
        <f t="shared" si="37"/>
        <v>3593411713</v>
      </c>
      <c r="M1048" s="20">
        <f t="shared" si="38"/>
        <v>0.83665636205114424</v>
      </c>
    </row>
    <row r="1049" spans="12:13">
      <c r="L1049" s="6">
        <f t="shared" si="37"/>
        <v>1492248104</v>
      </c>
      <c r="M1049" s="20">
        <f t="shared" si="38"/>
        <v>0.34744108654558659</v>
      </c>
    </row>
    <row r="1050" spans="12:13">
      <c r="L1050" s="6">
        <f t="shared" si="37"/>
        <v>3208787620</v>
      </c>
      <c r="M1050" s="20">
        <f t="shared" si="38"/>
        <v>0.74710408691316843</v>
      </c>
    </row>
    <row r="1051" spans="12:13">
      <c r="L1051" s="6">
        <f t="shared" si="37"/>
        <v>2814507248</v>
      </c>
      <c r="M1051" s="20">
        <f t="shared" si="38"/>
        <v>0.65530353412032127</v>
      </c>
    </row>
    <row r="1052" spans="12:13">
      <c r="L1052" s="6">
        <f t="shared" si="37"/>
        <v>777163468</v>
      </c>
      <c r="M1052" s="20">
        <f t="shared" si="38"/>
        <v>0.18094747047871351</v>
      </c>
    </row>
    <row r="1053" spans="12:13">
      <c r="L1053" s="6">
        <f t="shared" si="37"/>
        <v>2492919545</v>
      </c>
      <c r="M1053" s="20">
        <f t="shared" si="38"/>
        <v>0.58042806223966181</v>
      </c>
    </row>
    <row r="1054" spans="12:13">
      <c r="L1054" s="6">
        <f t="shared" si="37"/>
        <v>3582881344</v>
      </c>
      <c r="M1054" s="20">
        <f t="shared" si="38"/>
        <v>0.83420456945896149</v>
      </c>
    </row>
    <row r="1055" spans="12:13">
      <c r="L1055" s="6">
        <f t="shared" ref="L1055:L1118" si="39">MOD($I$13*L1054+$J$13,2^32)</f>
        <v>1129715676</v>
      </c>
      <c r="M1055" s="20">
        <f t="shared" si="38"/>
        <v>0.26303242798894644</v>
      </c>
    </row>
    <row r="1056" spans="12:13">
      <c r="L1056" s="6">
        <f t="shared" si="39"/>
        <v>633929928</v>
      </c>
      <c r="M1056" s="20">
        <f t="shared" si="38"/>
        <v>0.14759831316769123</v>
      </c>
    </row>
    <row r="1057" spans="12:13">
      <c r="L1057" s="6">
        <f t="shared" si="39"/>
        <v>1902227653</v>
      </c>
      <c r="M1057" s="20">
        <f t="shared" si="38"/>
        <v>0.44289688882417977</v>
      </c>
    </row>
    <row r="1058" spans="12:13">
      <c r="L1058" s="6">
        <f t="shared" si="39"/>
        <v>2333311388</v>
      </c>
      <c r="M1058" s="20">
        <f t="shared" si="38"/>
        <v>0.54326639231294394</v>
      </c>
    </row>
    <row r="1059" spans="12:13">
      <c r="L1059" s="6">
        <f t="shared" si="39"/>
        <v>745283464</v>
      </c>
      <c r="M1059" s="20">
        <f t="shared" si="38"/>
        <v>0.17352482862770557</v>
      </c>
    </row>
    <row r="1060" spans="12:13">
      <c r="L1060" s="6">
        <f t="shared" si="39"/>
        <v>1571291269</v>
      </c>
      <c r="M1060" s="20">
        <f t="shared" si="38"/>
        <v>0.36584475752897561</v>
      </c>
    </row>
    <row r="1061" spans="12:13">
      <c r="L1061" s="6">
        <f t="shared" si="39"/>
        <v>3511176796</v>
      </c>
      <c r="M1061" s="20">
        <f t="shared" si="38"/>
        <v>0.8175095533952117</v>
      </c>
    </row>
    <row r="1062" spans="12:13">
      <c r="L1062" s="6">
        <f t="shared" si="39"/>
        <v>2770224456</v>
      </c>
      <c r="M1062" s="20">
        <f t="shared" si="38"/>
        <v>0.64499314315617085</v>
      </c>
    </row>
    <row r="1063" spans="12:13">
      <c r="L1063" s="6">
        <f t="shared" si="39"/>
        <v>765766468</v>
      </c>
      <c r="M1063" s="20">
        <f t="shared" si="38"/>
        <v>0.17829389963299036</v>
      </c>
    </row>
    <row r="1064" spans="12:13">
      <c r="L1064" s="6">
        <f t="shared" si="39"/>
        <v>3130459409</v>
      </c>
      <c r="M1064" s="20">
        <f t="shared" si="38"/>
        <v>0.72886687912978232</v>
      </c>
    </row>
    <row r="1065" spans="12:13">
      <c r="L1065" s="6">
        <f t="shared" si="39"/>
        <v>3373696376</v>
      </c>
      <c r="M1065" s="20">
        <f t="shared" si="38"/>
        <v>0.78549989871680737</v>
      </c>
    </row>
    <row r="1066" spans="12:13">
      <c r="L1066" s="6">
        <f t="shared" si="39"/>
        <v>1584520628</v>
      </c>
      <c r="M1066" s="20">
        <f t="shared" si="38"/>
        <v>0.36892495770007372</v>
      </c>
    </row>
    <row r="1067" spans="12:13">
      <c r="L1067" s="6">
        <f t="shared" si="39"/>
        <v>1329317056</v>
      </c>
      <c r="M1067" s="20">
        <f t="shared" si="38"/>
        <v>0.30950574576854706</v>
      </c>
    </row>
    <row r="1068" spans="12:13">
      <c r="L1068" s="6">
        <f t="shared" si="39"/>
        <v>3905682524</v>
      </c>
      <c r="M1068" s="20">
        <f t="shared" si="38"/>
        <v>0.90936257597059011</v>
      </c>
    </row>
    <row r="1069" spans="12:13">
      <c r="L1069" s="6">
        <f t="shared" si="39"/>
        <v>1121196872</v>
      </c>
      <c r="M1069" s="20">
        <f t="shared" si="38"/>
        <v>0.26104898937046528</v>
      </c>
    </row>
    <row r="1070" spans="12:13">
      <c r="L1070" s="6">
        <f t="shared" si="39"/>
        <v>3928918340</v>
      </c>
      <c r="M1070" s="20">
        <f t="shared" si="38"/>
        <v>0.914772585965693</v>
      </c>
    </row>
    <row r="1071" spans="12:13">
      <c r="L1071" s="6">
        <f t="shared" si="39"/>
        <v>3918351120</v>
      </c>
      <c r="M1071" s="20">
        <f t="shared" si="38"/>
        <v>0.91231221333146095</v>
      </c>
    </row>
    <row r="1072" spans="12:13">
      <c r="L1072" s="6">
        <f t="shared" si="39"/>
        <v>76963436</v>
      </c>
      <c r="M1072" s="20">
        <f t="shared" si="38"/>
        <v>1.7919446341693401E-2</v>
      </c>
    </row>
    <row r="1073" spans="12:13">
      <c r="L1073" s="6">
        <f t="shared" si="39"/>
        <v>1767925273</v>
      </c>
      <c r="M1073" s="20">
        <f t="shared" si="38"/>
        <v>0.41162717924453318</v>
      </c>
    </row>
    <row r="1074" spans="12:13">
      <c r="L1074" s="6">
        <f t="shared" si="39"/>
        <v>769858272</v>
      </c>
      <c r="M1074" s="20">
        <f t="shared" si="38"/>
        <v>0.17924659699201584</v>
      </c>
    </row>
    <row r="1075" spans="12:13">
      <c r="L1075" s="6">
        <f t="shared" si="39"/>
        <v>1091566589</v>
      </c>
      <c r="M1075" s="20">
        <f t="shared" si="38"/>
        <v>0.25415015150792897</v>
      </c>
    </row>
    <row r="1076" spans="12:13">
      <c r="L1076" s="6">
        <f t="shared" si="39"/>
        <v>2732845940</v>
      </c>
      <c r="M1076" s="20">
        <f t="shared" si="38"/>
        <v>0.63629027921706438</v>
      </c>
    </row>
    <row r="1077" spans="12:13">
      <c r="L1077" s="6">
        <f t="shared" si="39"/>
        <v>1056913280</v>
      </c>
      <c r="M1077" s="20">
        <f t="shared" si="38"/>
        <v>0.24608179926872253</v>
      </c>
    </row>
    <row r="1078" spans="12:13">
      <c r="L1078" s="6">
        <f t="shared" si="39"/>
        <v>857378845</v>
      </c>
      <c r="M1078" s="20">
        <f t="shared" si="38"/>
        <v>0.19962406833656132</v>
      </c>
    </row>
    <row r="1079" spans="12:13">
      <c r="L1079" s="6">
        <f t="shared" si="39"/>
        <v>3825733910</v>
      </c>
      <c r="M1079" s="20">
        <f t="shared" si="38"/>
        <v>0.89074808871373534</v>
      </c>
    </row>
    <row r="1080" spans="12:13">
      <c r="L1080" s="6">
        <f t="shared" si="39"/>
        <v>3352210108</v>
      </c>
      <c r="M1080" s="20">
        <f t="shared" si="38"/>
        <v>0.78049723710864782</v>
      </c>
    </row>
    <row r="1081" spans="12:13">
      <c r="L1081" s="6">
        <f t="shared" si="39"/>
        <v>4242593320</v>
      </c>
      <c r="M1081" s="20">
        <f t="shared" si="38"/>
        <v>0.98780573345720768</v>
      </c>
    </row>
    <row r="1082" spans="12:13">
      <c r="L1082" s="6">
        <f t="shared" si="39"/>
        <v>303326884</v>
      </c>
      <c r="M1082" s="20">
        <f t="shared" si="38"/>
        <v>7.0623793639242649E-2</v>
      </c>
    </row>
    <row r="1083" spans="12:13">
      <c r="L1083" s="6">
        <f t="shared" si="39"/>
        <v>1214146801</v>
      </c>
      <c r="M1083" s="20">
        <f t="shared" si="38"/>
        <v>0.28269058116711676</v>
      </c>
    </row>
    <row r="1084" spans="12:13">
      <c r="L1084" s="6">
        <f t="shared" si="39"/>
        <v>2180249560</v>
      </c>
      <c r="M1084" s="20">
        <f t="shared" si="38"/>
        <v>0.50762890838086605</v>
      </c>
    </row>
    <row r="1085" spans="12:13">
      <c r="L1085" s="6">
        <f t="shared" si="39"/>
        <v>288263316</v>
      </c>
      <c r="M1085" s="20">
        <f t="shared" si="38"/>
        <v>6.7116533406078815E-2</v>
      </c>
    </row>
    <row r="1086" spans="12:13">
      <c r="L1086" s="6">
        <f t="shared" si="39"/>
        <v>2341799457</v>
      </c>
      <c r="M1086" s="20">
        <f t="shared" si="38"/>
        <v>0.54524267488159239</v>
      </c>
    </row>
    <row r="1087" spans="12:13">
      <c r="L1087" s="6">
        <f t="shared" si="39"/>
        <v>2209145672</v>
      </c>
      <c r="M1087" s="20">
        <f t="shared" si="38"/>
        <v>0.51435680873692036</v>
      </c>
    </row>
    <row r="1088" spans="12:13">
      <c r="L1088" s="6">
        <f t="shared" si="39"/>
        <v>2996351300</v>
      </c>
      <c r="M1088" s="20">
        <f t="shared" si="38"/>
        <v>0.69764240179210901</v>
      </c>
    </row>
    <row r="1089" spans="12:13">
      <c r="L1089" s="6">
        <f t="shared" si="39"/>
        <v>4248392464</v>
      </c>
      <c r="M1089" s="20">
        <f t="shared" si="38"/>
        <v>0.98915595188736916</v>
      </c>
    </row>
    <row r="1090" spans="12:13">
      <c r="L1090" s="6">
        <f t="shared" si="39"/>
        <v>2650457708</v>
      </c>
      <c r="M1090" s="20">
        <f t="shared" si="38"/>
        <v>0.61710777413100004</v>
      </c>
    </row>
    <row r="1091" spans="12:13">
      <c r="L1091" s="6">
        <f t="shared" si="39"/>
        <v>3372330520</v>
      </c>
      <c r="M1091" s="20">
        <f t="shared" si="38"/>
        <v>0.78518188558518887</v>
      </c>
    </row>
    <row r="1092" spans="12:13">
      <c r="L1092" s="6">
        <f t="shared" si="39"/>
        <v>3363573204</v>
      </c>
      <c r="M1092" s="20">
        <f t="shared" si="38"/>
        <v>0.78314291406422853</v>
      </c>
    </row>
    <row r="1093" spans="12:13">
      <c r="L1093" s="6">
        <f t="shared" si="39"/>
        <v>3316045408</v>
      </c>
      <c r="M1093" s="20">
        <f t="shared" ref="M1093:M1156" si="40">L1093/2^32</f>
        <v>0.77207698673009872</v>
      </c>
    </row>
    <row r="1094" spans="12:13">
      <c r="L1094" s="6">
        <f t="shared" si="39"/>
        <v>1578238332</v>
      </c>
      <c r="M1094" s="20">
        <f t="shared" si="40"/>
        <v>0.36746224667876959</v>
      </c>
    </row>
    <row r="1095" spans="12:13">
      <c r="L1095" s="6">
        <f t="shared" si="39"/>
        <v>1138884072</v>
      </c>
      <c r="M1095" s="20">
        <f t="shared" si="40"/>
        <v>0.2651671115309</v>
      </c>
    </row>
    <row r="1096" spans="12:13">
      <c r="L1096" s="6">
        <f t="shared" si="39"/>
        <v>914238308</v>
      </c>
      <c r="M1096" s="20">
        <f t="shared" si="40"/>
        <v>0.21286269370466471</v>
      </c>
    </row>
    <row r="1097" spans="12:13">
      <c r="L1097" s="6">
        <f t="shared" si="39"/>
        <v>2233018033</v>
      </c>
      <c r="M1097" s="20">
        <f t="shared" si="40"/>
        <v>0.51991502591408789</v>
      </c>
    </row>
    <row r="1098" spans="12:13">
      <c r="L1098" s="6">
        <f t="shared" si="39"/>
        <v>3252181656</v>
      </c>
      <c r="M1098" s="20">
        <f t="shared" si="40"/>
        <v>0.75720754824578762</v>
      </c>
    </row>
    <row r="1099" spans="12:13">
      <c r="L1099" s="6">
        <f t="shared" si="39"/>
        <v>3336130644</v>
      </c>
      <c r="M1099" s="20">
        <f t="shared" si="40"/>
        <v>0.7767534451559186</v>
      </c>
    </row>
    <row r="1100" spans="12:13">
      <c r="L1100" s="6">
        <f t="shared" si="39"/>
        <v>2649208544</v>
      </c>
      <c r="M1100" s="20">
        <f t="shared" si="40"/>
        <v>0.6168169304728508</v>
      </c>
    </row>
    <row r="1101" spans="12:13">
      <c r="L1101" s="6">
        <f t="shared" si="39"/>
        <v>2543314940</v>
      </c>
      <c r="M1101" s="20">
        <f t="shared" si="40"/>
        <v>0.59216165449470282</v>
      </c>
    </row>
    <row r="1102" spans="12:13">
      <c r="L1102" s="6">
        <f t="shared" si="39"/>
        <v>891761256</v>
      </c>
      <c r="M1102" s="20">
        <f t="shared" si="40"/>
        <v>0.20762934722006321</v>
      </c>
    </row>
    <row r="1103" spans="12:13">
      <c r="L1103" s="6">
        <f t="shared" si="39"/>
        <v>1889555941</v>
      </c>
      <c r="M1103" s="20">
        <f t="shared" si="40"/>
        <v>0.4399465259630233</v>
      </c>
    </row>
    <row r="1104" spans="12:13">
      <c r="L1104" s="6">
        <f t="shared" si="39"/>
        <v>3068232764</v>
      </c>
      <c r="M1104" s="20">
        <f t="shared" si="40"/>
        <v>0.71437860932201147</v>
      </c>
    </row>
    <row r="1105" spans="12:13">
      <c r="L1105" s="6">
        <f t="shared" si="39"/>
        <v>1528652200</v>
      </c>
      <c r="M1105" s="20">
        <f t="shared" si="40"/>
        <v>0.35591707564890385</v>
      </c>
    </row>
    <row r="1106" spans="12:13">
      <c r="L1106" s="6">
        <f t="shared" si="39"/>
        <v>3729325092</v>
      </c>
      <c r="M1106" s="20">
        <f t="shared" si="40"/>
        <v>0.86830116156488657</v>
      </c>
    </row>
    <row r="1107" spans="12:13">
      <c r="L1107" s="6">
        <f t="shared" si="39"/>
        <v>4282220656</v>
      </c>
      <c r="M1107" s="20">
        <f t="shared" si="40"/>
        <v>0.99703219160437584</v>
      </c>
    </row>
    <row r="1108" spans="12:13">
      <c r="L1108" s="6">
        <f t="shared" si="39"/>
        <v>786822220</v>
      </c>
      <c r="M1108" s="20">
        <f t="shared" si="40"/>
        <v>0.18319632392376661</v>
      </c>
    </row>
    <row r="1109" spans="12:13">
      <c r="L1109" s="6">
        <f t="shared" si="39"/>
        <v>780296825</v>
      </c>
      <c r="M1109" s="20">
        <f t="shared" si="40"/>
        <v>0.18167701200582087</v>
      </c>
    </row>
    <row r="1110" spans="12:13">
      <c r="L1110" s="6">
        <f t="shared" si="39"/>
        <v>1806486466</v>
      </c>
      <c r="M1110" s="20">
        <f t="shared" si="40"/>
        <v>0.42060540663078427</v>
      </c>
    </row>
    <row r="1111" spans="12:13">
      <c r="L1111" s="6">
        <f t="shared" si="39"/>
        <v>3195781496</v>
      </c>
      <c r="M1111" s="20">
        <f t="shared" si="40"/>
        <v>0.74407586269080639</v>
      </c>
    </row>
    <row r="1112" spans="12:13">
      <c r="L1112" s="6">
        <f t="shared" si="39"/>
        <v>738322868</v>
      </c>
      <c r="M1112" s="20">
        <f t="shared" si="40"/>
        <v>0.17190418858081102</v>
      </c>
    </row>
    <row r="1113" spans="12:13">
      <c r="L1113" s="6">
        <f t="shared" si="39"/>
        <v>2349359297</v>
      </c>
      <c r="M1113" s="20">
        <f t="shared" si="40"/>
        <v>0.54700283729471266</v>
      </c>
    </row>
    <row r="1114" spans="12:13">
      <c r="L1114" s="6">
        <f t="shared" si="39"/>
        <v>234593640</v>
      </c>
      <c r="M1114" s="20">
        <f t="shared" si="40"/>
        <v>5.4620588198304176E-2</v>
      </c>
    </row>
    <row r="1115" spans="12:13">
      <c r="L1115" s="6">
        <f t="shared" si="39"/>
        <v>3088106725</v>
      </c>
      <c r="M1115" s="20">
        <f t="shared" si="40"/>
        <v>0.71900587645359337</v>
      </c>
    </row>
    <row r="1116" spans="12:13">
      <c r="L1116" s="6">
        <f t="shared" si="39"/>
        <v>3876726588</v>
      </c>
      <c r="M1116" s="20">
        <f t="shared" si="40"/>
        <v>0.90262074675410986</v>
      </c>
    </row>
    <row r="1117" spans="12:13">
      <c r="L1117" s="6">
        <f t="shared" si="39"/>
        <v>232040616</v>
      </c>
      <c r="M1117" s="20">
        <f t="shared" si="40"/>
        <v>5.4026165977120399E-2</v>
      </c>
    </row>
    <row r="1118" spans="12:13">
      <c r="L1118" s="6">
        <f t="shared" si="39"/>
        <v>3217725221</v>
      </c>
      <c r="M1118" s="20">
        <f t="shared" si="40"/>
        <v>0.7491850343067199</v>
      </c>
    </row>
    <row r="1119" spans="12:13">
      <c r="L1119" s="6">
        <f t="shared" ref="L1119:L1182" si="41">MOD($I$13*L1118+$J$13,2^32)</f>
        <v>4209579132</v>
      </c>
      <c r="M1119" s="20">
        <f t="shared" si="40"/>
        <v>0.98011901881545782</v>
      </c>
    </row>
    <row r="1120" spans="12:13">
      <c r="L1120" s="6">
        <f t="shared" si="41"/>
        <v>3091002600</v>
      </c>
      <c r="M1120" s="20">
        <f t="shared" si="40"/>
        <v>0.71968012489378452</v>
      </c>
    </row>
    <row r="1121" spans="12:13">
      <c r="L1121" s="6">
        <f t="shared" si="41"/>
        <v>4173313636</v>
      </c>
      <c r="M1121" s="20">
        <f t="shared" si="40"/>
        <v>0.97167530003935099</v>
      </c>
    </row>
    <row r="1122" spans="12:13">
      <c r="L1122" s="6">
        <f t="shared" si="41"/>
        <v>2931045808</v>
      </c>
      <c r="M1122" s="20">
        <f t="shared" si="40"/>
        <v>0.68243728205561638</v>
      </c>
    </row>
    <row r="1123" spans="12:13">
      <c r="L1123" s="6">
        <f t="shared" si="41"/>
        <v>4040386700</v>
      </c>
      <c r="M1123" s="20">
        <f t="shared" si="40"/>
        <v>0.94072583597153425</v>
      </c>
    </row>
    <row r="1124" spans="12:13">
      <c r="L1124" s="6">
        <f t="shared" si="41"/>
        <v>2525137336</v>
      </c>
      <c r="M1124" s="20">
        <f t="shared" si="40"/>
        <v>0.58792935125529766</v>
      </c>
    </row>
    <row r="1125" spans="12:13">
      <c r="L1125" s="6">
        <f t="shared" si="41"/>
        <v>1202672884</v>
      </c>
      <c r="M1125" s="20">
        <f t="shared" si="40"/>
        <v>0.28001910168677568</v>
      </c>
    </row>
    <row r="1126" spans="12:13">
      <c r="L1126" s="6">
        <f t="shared" si="41"/>
        <v>3312128768</v>
      </c>
      <c r="M1126" s="20">
        <f t="shared" si="40"/>
        <v>0.77116507291793823</v>
      </c>
    </row>
    <row r="1127" spans="12:13">
      <c r="L1127" s="6">
        <f t="shared" si="41"/>
        <v>759575964</v>
      </c>
      <c r="M1127" s="20">
        <f t="shared" si="40"/>
        <v>0.17685256060212851</v>
      </c>
    </row>
    <row r="1128" spans="12:13">
      <c r="L1128" s="6">
        <f t="shared" si="41"/>
        <v>2386772873</v>
      </c>
      <c r="M1128" s="20">
        <f t="shared" si="40"/>
        <v>0.55571386427618563</v>
      </c>
    </row>
    <row r="1129" spans="12:13">
      <c r="L1129" s="6">
        <f t="shared" si="41"/>
        <v>1317570960</v>
      </c>
      <c r="M1129" s="20">
        <f t="shared" si="40"/>
        <v>0.30677089467644691</v>
      </c>
    </row>
    <row r="1130" spans="12:13">
      <c r="L1130" s="6">
        <f t="shared" si="41"/>
        <v>3389590252</v>
      </c>
      <c r="M1130" s="20">
        <f t="shared" si="40"/>
        <v>0.78920048009604216</v>
      </c>
    </row>
    <row r="1131" spans="12:13">
      <c r="L1131" s="6">
        <f t="shared" si="41"/>
        <v>396994712</v>
      </c>
      <c r="M1131" s="20">
        <f t="shared" si="40"/>
        <v>9.2432534322142601E-2</v>
      </c>
    </row>
    <row r="1132" spans="12:13">
      <c r="L1132" s="6">
        <f t="shared" si="41"/>
        <v>3500164693</v>
      </c>
      <c r="M1132" s="20">
        <f t="shared" si="40"/>
        <v>0.81494559836573899</v>
      </c>
    </row>
    <row r="1133" spans="12:13">
      <c r="L1133" s="6">
        <f t="shared" si="41"/>
        <v>3547326956</v>
      </c>
      <c r="M1133" s="20">
        <f t="shared" si="40"/>
        <v>0.82592641841620207</v>
      </c>
    </row>
    <row r="1134" spans="12:13">
      <c r="L1134" s="6">
        <f t="shared" si="41"/>
        <v>4002282392</v>
      </c>
      <c r="M1134" s="20">
        <f t="shared" si="40"/>
        <v>0.93185398541390896</v>
      </c>
    </row>
    <row r="1135" spans="12:13">
      <c r="L1135" s="6">
        <f t="shared" si="41"/>
        <v>1441234260</v>
      </c>
      <c r="M1135" s="20">
        <f t="shared" si="40"/>
        <v>0.33556350041180849</v>
      </c>
    </row>
    <row r="1136" spans="12:13">
      <c r="L1136" s="6">
        <f t="shared" si="41"/>
        <v>980484064</v>
      </c>
      <c r="M1136" s="20">
        <f t="shared" si="40"/>
        <v>0.2282867357134819</v>
      </c>
    </row>
    <row r="1137" spans="12:13">
      <c r="L1137" s="6">
        <f t="shared" si="41"/>
        <v>3526204669</v>
      </c>
      <c r="M1137" s="20">
        <f t="shared" si="40"/>
        <v>0.82100850273855031</v>
      </c>
    </row>
    <row r="1138" spans="12:13">
      <c r="L1138" s="6">
        <f t="shared" si="41"/>
        <v>3543799924</v>
      </c>
      <c r="M1138" s="20">
        <f t="shared" si="40"/>
        <v>0.82510521728545427</v>
      </c>
    </row>
    <row r="1139" spans="12:13">
      <c r="L1139" s="6">
        <f t="shared" si="41"/>
        <v>4096819328</v>
      </c>
      <c r="M1139" s="20">
        <f t="shared" si="40"/>
        <v>0.95386508107185364</v>
      </c>
    </row>
    <row r="1140" spans="12:13">
      <c r="L1140" s="6">
        <f t="shared" si="41"/>
        <v>1983399196</v>
      </c>
      <c r="M1140" s="20">
        <f t="shared" si="40"/>
        <v>0.46179611142724752</v>
      </c>
    </row>
    <row r="1141" spans="12:13">
      <c r="L1141" s="6">
        <f t="shared" si="41"/>
        <v>402885896</v>
      </c>
      <c r="M1141" s="20">
        <f t="shared" si="40"/>
        <v>9.3804182484745979E-2</v>
      </c>
    </row>
    <row r="1142" spans="12:13">
      <c r="L1142" s="6">
        <f t="shared" si="41"/>
        <v>3074691077</v>
      </c>
      <c r="M1142" s="20">
        <f t="shared" si="40"/>
        <v>0.71588230249471962</v>
      </c>
    </row>
    <row r="1143" spans="12:13">
      <c r="L1143" s="6">
        <f t="shared" si="41"/>
        <v>1705678812</v>
      </c>
      <c r="M1143" s="20">
        <f t="shared" si="40"/>
        <v>0.39713429566472769</v>
      </c>
    </row>
    <row r="1144" spans="12:13">
      <c r="L1144" s="6">
        <f t="shared" si="41"/>
        <v>580092104</v>
      </c>
      <c r="M1144" s="20">
        <f t="shared" si="40"/>
        <v>0.13506321795284748</v>
      </c>
    </row>
    <row r="1145" spans="12:13">
      <c r="L1145" s="6">
        <f t="shared" si="41"/>
        <v>4096405701</v>
      </c>
      <c r="M1145" s="20">
        <f t="shared" si="40"/>
        <v>0.95376877603121102</v>
      </c>
    </row>
    <row r="1146" spans="12:13">
      <c r="L1146" s="6">
        <f t="shared" si="41"/>
        <v>1908539804</v>
      </c>
      <c r="M1146" s="20">
        <f t="shared" si="40"/>
        <v>0.44436655100435019</v>
      </c>
    </row>
    <row r="1147" spans="12:13">
      <c r="L1147" s="6">
        <f t="shared" si="41"/>
        <v>3284705160</v>
      </c>
      <c r="M1147" s="20">
        <f t="shared" si="40"/>
        <v>0.76478001661598682</v>
      </c>
    </row>
    <row r="1148" spans="12:13">
      <c r="L1148" s="6">
        <f t="shared" si="41"/>
        <v>4091183236</v>
      </c>
      <c r="M1148" s="20">
        <f t="shared" si="40"/>
        <v>0.95255282614380121</v>
      </c>
    </row>
    <row r="1149" spans="12:13">
      <c r="L1149" s="6">
        <f t="shared" si="41"/>
        <v>2782468432</v>
      </c>
      <c r="M1149" s="20">
        <f t="shared" si="40"/>
        <v>0.64784391596913338</v>
      </c>
    </row>
    <row r="1150" spans="12:13">
      <c r="L1150" s="6">
        <f t="shared" si="41"/>
        <v>2130909100</v>
      </c>
      <c r="M1150" s="20">
        <f t="shared" si="40"/>
        <v>0.49614093732088804</v>
      </c>
    </row>
    <row r="1151" spans="12:13">
      <c r="L1151" s="6">
        <f t="shared" si="41"/>
        <v>1721765464</v>
      </c>
      <c r="M1151" s="20">
        <f t="shared" si="40"/>
        <v>0.4008797612041235</v>
      </c>
    </row>
    <row r="1152" spans="12:13">
      <c r="L1152" s="6">
        <f t="shared" si="41"/>
        <v>2203332884</v>
      </c>
      <c r="M1152" s="20">
        <f t="shared" si="40"/>
        <v>0.51300341356545687</v>
      </c>
    </row>
    <row r="1153" spans="12:13">
      <c r="L1153" s="6">
        <f t="shared" si="41"/>
        <v>2420957344</v>
      </c>
      <c r="M1153" s="20">
        <f t="shared" si="40"/>
        <v>0.56367305666208267</v>
      </c>
    </row>
    <row r="1154" spans="12:13">
      <c r="L1154" s="6">
        <f t="shared" si="41"/>
        <v>595576508</v>
      </c>
      <c r="M1154" s="20">
        <f t="shared" si="40"/>
        <v>0.13866846170276403</v>
      </c>
    </row>
    <row r="1155" spans="12:13">
      <c r="L1155" s="6">
        <f t="shared" si="41"/>
        <v>3249226281</v>
      </c>
      <c r="M1155" s="20">
        <f t="shared" si="40"/>
        <v>0.75651944638229907</v>
      </c>
    </row>
    <row r="1156" spans="12:13">
      <c r="L1156" s="6">
        <f t="shared" si="41"/>
        <v>3275200432</v>
      </c>
      <c r="M1156" s="20">
        <f t="shared" si="40"/>
        <v>0.76256702467799187</v>
      </c>
    </row>
    <row r="1157" spans="12:13">
      <c r="L1157" s="6">
        <f t="shared" si="41"/>
        <v>2110349964</v>
      </c>
      <c r="M1157" s="20">
        <f t="shared" ref="M1157:M1220" si="42">L1157/2^32</f>
        <v>0.4913541404530406</v>
      </c>
    </row>
    <row r="1158" spans="12:13">
      <c r="L1158" s="6">
        <f t="shared" si="41"/>
        <v>2931964856</v>
      </c>
      <c r="M1158" s="20">
        <f t="shared" si="42"/>
        <v>0.68265126459300518</v>
      </c>
    </row>
    <row r="1159" spans="12:13">
      <c r="L1159" s="6">
        <f t="shared" si="41"/>
        <v>3653590772</v>
      </c>
      <c r="M1159" s="20">
        <f t="shared" si="42"/>
        <v>0.85066789109259844</v>
      </c>
    </row>
    <row r="1160" spans="12:13">
      <c r="L1160" s="6">
        <f t="shared" si="41"/>
        <v>3147535616</v>
      </c>
      <c r="M1160" s="20">
        <f t="shared" si="42"/>
        <v>0.73284274339675903</v>
      </c>
    </row>
    <row r="1161" spans="12:13">
      <c r="L1161" s="6">
        <f t="shared" si="41"/>
        <v>2007420828</v>
      </c>
      <c r="M1161" s="20">
        <f t="shared" si="42"/>
        <v>0.46738908346742392</v>
      </c>
    </row>
    <row r="1162" spans="12:13">
      <c r="L1162" s="6">
        <f t="shared" si="41"/>
        <v>135075208</v>
      </c>
      <c r="M1162" s="20">
        <f t="shared" si="42"/>
        <v>3.144964762032032E-2</v>
      </c>
    </row>
    <row r="1163" spans="12:13">
      <c r="L1163" s="6">
        <f t="shared" si="41"/>
        <v>1556250245</v>
      </c>
      <c r="M1163" s="20">
        <f t="shared" si="42"/>
        <v>0.36234274622984231</v>
      </c>
    </row>
    <row r="1164" spans="12:13">
      <c r="L1164" s="6">
        <f t="shared" si="41"/>
        <v>45528156</v>
      </c>
      <c r="M1164" s="20">
        <f t="shared" si="42"/>
        <v>1.0600349865853786E-2</v>
      </c>
    </row>
    <row r="1165" spans="12:13">
      <c r="L1165" s="6">
        <f t="shared" si="41"/>
        <v>3487003465</v>
      </c>
      <c r="M1165" s="20">
        <f t="shared" si="42"/>
        <v>0.81188126117922366</v>
      </c>
    </row>
    <row r="1166" spans="12:13">
      <c r="L1166" s="6">
        <f t="shared" si="41"/>
        <v>420591184</v>
      </c>
      <c r="M1166" s="20">
        <f t="shared" si="42"/>
        <v>9.7926516085863113E-2</v>
      </c>
    </row>
    <row r="1167" spans="12:13">
      <c r="L1167" s="6">
        <f t="shared" si="41"/>
        <v>1122242733</v>
      </c>
      <c r="M1167" s="20">
        <f t="shared" si="42"/>
        <v>0.26129249786026776</v>
      </c>
    </row>
    <row r="1168" spans="12:13">
      <c r="L1168" s="6">
        <f t="shared" si="41"/>
        <v>4036585572</v>
      </c>
      <c r="M1168" s="20">
        <f t="shared" si="42"/>
        <v>0.93984081689268351</v>
      </c>
    </row>
    <row r="1169" spans="12:13">
      <c r="L1169" s="6">
        <f t="shared" si="41"/>
        <v>2107391920</v>
      </c>
      <c r="M1169" s="20">
        <f t="shared" si="42"/>
        <v>0.49066541716456413</v>
      </c>
    </row>
    <row r="1170" spans="12:13">
      <c r="L1170" s="6">
        <f t="shared" si="41"/>
        <v>2007886476</v>
      </c>
      <c r="M1170" s="20">
        <f t="shared" si="42"/>
        <v>0.46749750059098005</v>
      </c>
    </row>
    <row r="1171" spans="12:13">
      <c r="L1171" s="6">
        <f t="shared" si="41"/>
        <v>1803887544</v>
      </c>
      <c r="M1171" s="20">
        <f t="shared" si="42"/>
        <v>0.42000029794871807</v>
      </c>
    </row>
    <row r="1172" spans="12:13">
      <c r="L1172" s="6">
        <f t="shared" si="41"/>
        <v>1437804276</v>
      </c>
      <c r="M1172" s="20">
        <f t="shared" si="42"/>
        <v>0.33476489502936602</v>
      </c>
    </row>
    <row r="1173" spans="12:13">
      <c r="L1173" s="6">
        <f t="shared" si="41"/>
        <v>1561771264</v>
      </c>
      <c r="M1173" s="20">
        <f t="shared" si="42"/>
        <v>0.36362820863723755</v>
      </c>
    </row>
    <row r="1174" spans="12:13">
      <c r="L1174" s="6">
        <f t="shared" si="41"/>
        <v>2519717788</v>
      </c>
      <c r="M1174" s="20">
        <f t="shared" si="42"/>
        <v>0.58666751440614462</v>
      </c>
    </row>
    <row r="1175" spans="12:13">
      <c r="L1175" s="6">
        <f t="shared" si="41"/>
        <v>1873444232</v>
      </c>
      <c r="M1175" s="20">
        <f t="shared" si="42"/>
        <v>0.43619522638618946</v>
      </c>
    </row>
    <row r="1176" spans="12:13">
      <c r="L1176" s="6">
        <f t="shared" si="41"/>
        <v>2185807492</v>
      </c>
      <c r="M1176" s="20">
        <f t="shared" si="42"/>
        <v>0.50892296526581049</v>
      </c>
    </row>
    <row r="1177" spans="12:13">
      <c r="L1177" s="6">
        <f t="shared" si="41"/>
        <v>2465245008</v>
      </c>
      <c r="M1177" s="20">
        <f t="shared" si="42"/>
        <v>0.57398458197712898</v>
      </c>
    </row>
    <row r="1178" spans="12:13">
      <c r="L1178" s="6">
        <f t="shared" si="41"/>
        <v>2728086956</v>
      </c>
      <c r="M1178" s="20">
        <f t="shared" si="42"/>
        <v>0.63518224190920591</v>
      </c>
    </row>
    <row r="1179" spans="12:13">
      <c r="L1179" s="6">
        <f t="shared" si="41"/>
        <v>2642988120</v>
      </c>
      <c r="M1179" s="20">
        <f t="shared" si="42"/>
        <v>0.61536862514913082</v>
      </c>
    </row>
    <row r="1180" spans="12:13">
      <c r="L1180" s="6">
        <f t="shared" si="41"/>
        <v>494655252</v>
      </c>
      <c r="M1180" s="20">
        <f t="shared" si="42"/>
        <v>0.11517090070992708</v>
      </c>
    </row>
    <row r="1181" spans="12:13">
      <c r="L1181" s="6">
        <f t="shared" si="41"/>
        <v>3333312161</v>
      </c>
      <c r="M1181" s="20">
        <f t="shared" si="42"/>
        <v>0.77609721594490111</v>
      </c>
    </row>
    <row r="1182" spans="12:13">
      <c r="L1182" s="6">
        <f t="shared" si="41"/>
        <v>1538789832</v>
      </c>
      <c r="M1182" s="20">
        <f t="shared" si="42"/>
        <v>0.35827742703258991</v>
      </c>
    </row>
    <row r="1183" spans="12:13">
      <c r="L1183" s="6">
        <f t="shared" ref="L1183:L1246" si="43">MOD($I$13*L1182+$J$13,2^32)</f>
        <v>2760543684</v>
      </c>
      <c r="M1183" s="20">
        <f t="shared" si="42"/>
        <v>0.64273916278034449</v>
      </c>
    </row>
    <row r="1184" spans="12:13">
      <c r="L1184" s="6">
        <f t="shared" si="43"/>
        <v>2867332496</v>
      </c>
      <c r="M1184" s="20">
        <f t="shared" si="42"/>
        <v>0.66760287061333656</v>
      </c>
    </row>
    <row r="1185" spans="12:13">
      <c r="L1185" s="6">
        <f t="shared" si="43"/>
        <v>2173589228</v>
      </c>
      <c r="M1185" s="20">
        <f t="shared" si="42"/>
        <v>0.50607817899435759</v>
      </c>
    </row>
    <row r="1186" spans="12:13">
      <c r="L1186" s="6">
        <f t="shared" si="43"/>
        <v>1546290328</v>
      </c>
      <c r="M1186" s="20">
        <f t="shared" si="42"/>
        <v>0.36002377234399319</v>
      </c>
    </row>
    <row r="1187" spans="12:13">
      <c r="L1187" s="6">
        <f t="shared" si="43"/>
        <v>2327278164</v>
      </c>
      <c r="M1187" s="20">
        <f t="shared" si="42"/>
        <v>0.54186167288571596</v>
      </c>
    </row>
    <row r="1188" spans="12:13">
      <c r="L1188" s="6">
        <f t="shared" si="43"/>
        <v>2084139232</v>
      </c>
      <c r="M1188" s="20">
        <f t="shared" si="42"/>
        <v>0.48525147885084152</v>
      </c>
    </row>
    <row r="1189" spans="12:13">
      <c r="L1189" s="6">
        <f t="shared" si="43"/>
        <v>4030749180</v>
      </c>
      <c r="M1189" s="20">
        <f t="shared" si="42"/>
        <v>0.93848192598670721</v>
      </c>
    </row>
    <row r="1190" spans="12:13">
      <c r="L1190" s="6">
        <f t="shared" si="43"/>
        <v>1548680296</v>
      </c>
      <c r="M1190" s="20">
        <f t="shared" si="42"/>
        <v>0.36058023013174534</v>
      </c>
    </row>
    <row r="1191" spans="12:13">
      <c r="L1191" s="6">
        <f t="shared" si="43"/>
        <v>3312949220</v>
      </c>
      <c r="M1191" s="20">
        <f t="shared" si="42"/>
        <v>0.77135609928518534</v>
      </c>
    </row>
    <row r="1192" spans="12:13">
      <c r="L1192" s="6">
        <f t="shared" si="43"/>
        <v>4110035248</v>
      </c>
      <c r="M1192" s="20">
        <f t="shared" si="42"/>
        <v>0.95694215223193169</v>
      </c>
    </row>
    <row r="1193" spans="12:13">
      <c r="L1193" s="6">
        <f t="shared" si="43"/>
        <v>3289007628</v>
      </c>
      <c r="M1193" s="20">
        <f t="shared" si="42"/>
        <v>0.765781763009727</v>
      </c>
    </row>
    <row r="1194" spans="12:13">
      <c r="L1194" s="6">
        <f t="shared" si="43"/>
        <v>4251404600</v>
      </c>
      <c r="M1194" s="20">
        <f t="shared" si="42"/>
        <v>0.98985726945102215</v>
      </c>
    </row>
    <row r="1195" spans="12:13">
      <c r="L1195" s="6">
        <f t="shared" si="43"/>
        <v>1026723444</v>
      </c>
      <c r="M1195" s="20">
        <f t="shared" si="42"/>
        <v>0.23905268032103777</v>
      </c>
    </row>
    <row r="1196" spans="12:13">
      <c r="L1196" s="6">
        <f t="shared" si="43"/>
        <v>2335997569</v>
      </c>
      <c r="M1196" s="20">
        <f t="shared" si="42"/>
        <v>0.54389181756414473</v>
      </c>
    </row>
    <row r="1197" spans="12:13">
      <c r="L1197" s="6">
        <f t="shared" si="43"/>
        <v>2666127400</v>
      </c>
      <c r="M1197" s="20">
        <f t="shared" si="42"/>
        <v>0.62075615860521793</v>
      </c>
    </row>
    <row r="1198" spans="12:13">
      <c r="L1198" s="6">
        <f t="shared" si="43"/>
        <v>2795235492</v>
      </c>
      <c r="M1198" s="20">
        <f t="shared" si="42"/>
        <v>0.65081647876650095</v>
      </c>
    </row>
    <row r="1199" spans="12:13">
      <c r="L1199" s="6">
        <f t="shared" si="43"/>
        <v>539624176</v>
      </c>
      <c r="M1199" s="20">
        <f t="shared" si="42"/>
        <v>0.12564104422926903</v>
      </c>
    </row>
    <row r="1200" spans="12:13">
      <c r="L1200" s="6">
        <f t="shared" si="43"/>
        <v>3501003981</v>
      </c>
      <c r="M1200" s="20">
        <f t="shared" si="42"/>
        <v>0.81514101033098996</v>
      </c>
    </row>
    <row r="1201" spans="12:13">
      <c r="L1201" s="6">
        <f t="shared" si="43"/>
        <v>1335442948</v>
      </c>
      <c r="M1201" s="20">
        <f t="shared" si="42"/>
        <v>0.31093204114586115</v>
      </c>
    </row>
    <row r="1202" spans="12:13">
      <c r="L1202" s="6">
        <f t="shared" si="43"/>
        <v>755251408</v>
      </c>
      <c r="M1202" s="20">
        <f t="shared" si="42"/>
        <v>0.1758456714451313</v>
      </c>
    </row>
    <row r="1203" spans="12:13">
      <c r="L1203" s="6">
        <f t="shared" si="43"/>
        <v>2046374189</v>
      </c>
      <c r="M1203" s="20">
        <f t="shared" si="42"/>
        <v>0.47645861958153546</v>
      </c>
    </row>
    <row r="1204" spans="12:13">
      <c r="L1204" s="6">
        <f t="shared" si="43"/>
        <v>3425079012</v>
      </c>
      <c r="M1204" s="20">
        <f t="shared" si="42"/>
        <v>0.79746335092931986</v>
      </c>
    </row>
    <row r="1205" spans="12:13">
      <c r="L1205" s="6">
        <f t="shared" si="43"/>
        <v>2306847792</v>
      </c>
      <c r="M1205" s="20">
        <f t="shared" si="42"/>
        <v>0.53710485622286797</v>
      </c>
    </row>
    <row r="1206" spans="12:13">
      <c r="L1206" s="6">
        <f t="shared" si="43"/>
        <v>2937672972</v>
      </c>
      <c r="M1206" s="20">
        <f t="shared" si="42"/>
        <v>0.68398028891533613</v>
      </c>
    </row>
    <row r="1207" spans="12:13">
      <c r="L1207" s="6">
        <f t="shared" si="43"/>
        <v>63310904</v>
      </c>
      <c r="M1207" s="20">
        <f t="shared" si="42"/>
        <v>1.4740718528628349E-2</v>
      </c>
    </row>
    <row r="1208" spans="12:13">
      <c r="L1208" s="6">
        <f t="shared" si="43"/>
        <v>1289844085</v>
      </c>
      <c r="M1208" s="20">
        <f t="shared" si="42"/>
        <v>0.30031522852368653</v>
      </c>
    </row>
    <row r="1209" spans="12:13">
      <c r="L1209" s="6">
        <f t="shared" si="43"/>
        <v>2582703756</v>
      </c>
      <c r="M1209" s="20">
        <f t="shared" si="42"/>
        <v>0.60133257787674665</v>
      </c>
    </row>
    <row r="1210" spans="12:13">
      <c r="L1210" s="6">
        <f t="shared" si="43"/>
        <v>2260752312</v>
      </c>
      <c r="M1210" s="20">
        <f t="shared" si="42"/>
        <v>0.52637241594493389</v>
      </c>
    </row>
    <row r="1211" spans="12:13">
      <c r="L1211" s="6">
        <f t="shared" si="43"/>
        <v>1601751796</v>
      </c>
      <c r="M1211" s="20">
        <f t="shared" si="42"/>
        <v>0.37293690163642168</v>
      </c>
    </row>
    <row r="1212" spans="12:13">
      <c r="L1212" s="6">
        <f t="shared" si="43"/>
        <v>4111732992</v>
      </c>
      <c r="M1212" s="20">
        <f t="shared" si="42"/>
        <v>0.95733743906021118</v>
      </c>
    </row>
    <row r="1213" spans="12:13">
      <c r="L1213" s="6">
        <f t="shared" si="43"/>
        <v>376511388</v>
      </c>
      <c r="M1213" s="20">
        <f t="shared" si="42"/>
        <v>8.7663388811051846E-2</v>
      </c>
    </row>
    <row r="1214" spans="12:13">
      <c r="L1214" s="6">
        <f t="shared" si="43"/>
        <v>3557749129</v>
      </c>
      <c r="M1214" s="20">
        <f t="shared" si="42"/>
        <v>0.82835301966406405</v>
      </c>
    </row>
    <row r="1215" spans="12:13">
      <c r="L1215" s="6">
        <f t="shared" si="43"/>
        <v>770072464</v>
      </c>
      <c r="M1215" s="20">
        <f t="shared" si="42"/>
        <v>0.17929646745324135</v>
      </c>
    </row>
    <row r="1216" spans="12:13">
      <c r="L1216" s="6">
        <f t="shared" si="43"/>
        <v>2753226989</v>
      </c>
      <c r="M1216" s="20">
        <f t="shared" si="42"/>
        <v>0.64103561197407544</v>
      </c>
    </row>
    <row r="1217" spans="12:13">
      <c r="L1217" s="6">
        <f t="shared" si="43"/>
        <v>4010255268</v>
      </c>
      <c r="M1217" s="20">
        <f t="shared" si="42"/>
        <v>0.93371031526476145</v>
      </c>
    </row>
    <row r="1218" spans="12:13">
      <c r="L1218" s="6">
        <f t="shared" si="43"/>
        <v>3185148400</v>
      </c>
      <c r="M1218" s="20">
        <f t="shared" si="42"/>
        <v>0.741600152105093</v>
      </c>
    </row>
    <row r="1219" spans="12:13">
      <c r="L1219" s="6">
        <f t="shared" si="43"/>
        <v>3898705868</v>
      </c>
      <c r="M1219" s="20">
        <f t="shared" si="42"/>
        <v>0.90773819666355848</v>
      </c>
    </row>
    <row r="1220" spans="12:13">
      <c r="L1220" s="6">
        <f t="shared" si="43"/>
        <v>630349816</v>
      </c>
      <c r="M1220" s="20">
        <f t="shared" si="42"/>
        <v>0.14676475338637829</v>
      </c>
    </row>
    <row r="1221" spans="12:13">
      <c r="L1221" s="6">
        <f t="shared" si="43"/>
        <v>129529397</v>
      </c>
      <c r="M1221" s="20">
        <f t="shared" ref="M1221:M1284" si="44">L1221/2^32</f>
        <v>3.015841287560761E-2</v>
      </c>
    </row>
    <row r="1222" spans="12:13">
      <c r="L1222" s="6">
        <f t="shared" si="43"/>
        <v>2040772686</v>
      </c>
      <c r="M1222" s="20">
        <f t="shared" si="44"/>
        <v>0.47515441803261638</v>
      </c>
    </row>
    <row r="1223" spans="12:13">
      <c r="L1223" s="6">
        <f t="shared" si="43"/>
        <v>1656275092</v>
      </c>
      <c r="M1223" s="20">
        <f t="shared" si="44"/>
        <v>0.38563159573823214</v>
      </c>
    </row>
    <row r="1224" spans="12:13">
      <c r="L1224" s="6">
        <f t="shared" si="43"/>
        <v>844999200</v>
      </c>
      <c r="M1224" s="20">
        <f t="shared" si="44"/>
        <v>0.19674170762300491</v>
      </c>
    </row>
    <row r="1225" spans="12:13">
      <c r="L1225" s="6">
        <f t="shared" si="43"/>
        <v>860979773</v>
      </c>
      <c r="M1225" s="20">
        <f t="shared" si="44"/>
        <v>0.20046247472055256</v>
      </c>
    </row>
    <row r="1226" spans="12:13">
      <c r="L1226" s="6">
        <f t="shared" si="43"/>
        <v>3722640566</v>
      </c>
      <c r="M1226" s="20">
        <f t="shared" si="44"/>
        <v>0.86674479907378554</v>
      </c>
    </row>
    <row r="1227" spans="12:13">
      <c r="L1227" s="6">
        <f t="shared" si="43"/>
        <v>618971612</v>
      </c>
      <c r="M1227" s="20">
        <f t="shared" si="44"/>
        <v>0.14411555882543325</v>
      </c>
    </row>
    <row r="1228" spans="12:13">
      <c r="L1228" s="6">
        <f t="shared" si="43"/>
        <v>3459883721</v>
      </c>
      <c r="M1228" s="20">
        <f t="shared" si="44"/>
        <v>0.80556695372797549</v>
      </c>
    </row>
    <row r="1229" spans="12:13">
      <c r="L1229" s="6">
        <f t="shared" si="43"/>
        <v>2334672</v>
      </c>
      <c r="M1229" s="20">
        <f t="shared" si="44"/>
        <v>5.4358318448066711E-4</v>
      </c>
    </row>
    <row r="1230" spans="12:13">
      <c r="L1230" s="6">
        <f t="shared" si="43"/>
        <v>2137287725</v>
      </c>
      <c r="M1230" s="20">
        <f t="shared" si="44"/>
        <v>0.49762607668526471</v>
      </c>
    </row>
    <row r="1231" spans="12:13">
      <c r="L1231" s="6">
        <f t="shared" si="43"/>
        <v>676302308</v>
      </c>
      <c r="M1231" s="20">
        <f t="shared" si="44"/>
        <v>0.15746390167623758</v>
      </c>
    </row>
    <row r="1232" spans="12:13">
      <c r="L1232" s="6">
        <f t="shared" si="43"/>
        <v>3034556209</v>
      </c>
      <c r="M1232" s="20">
        <f t="shared" si="44"/>
        <v>0.70653767534531653</v>
      </c>
    </row>
    <row r="1233" spans="12:13">
      <c r="L1233" s="6">
        <f t="shared" si="43"/>
        <v>1195860248</v>
      </c>
      <c r="M1233" s="20">
        <f t="shared" si="44"/>
        <v>0.27843291126191616</v>
      </c>
    </row>
    <row r="1234" spans="12:13">
      <c r="L1234" s="6">
        <f t="shared" si="43"/>
        <v>1184179412</v>
      </c>
      <c r="M1234" s="20">
        <f t="shared" si="44"/>
        <v>0.27571325469762087</v>
      </c>
    </row>
    <row r="1235" spans="12:13">
      <c r="L1235" s="6">
        <f t="shared" si="43"/>
        <v>1395655008</v>
      </c>
      <c r="M1235" s="20">
        <f t="shared" si="44"/>
        <v>0.32495125383138657</v>
      </c>
    </row>
    <row r="1236" spans="12:13">
      <c r="L1236" s="6">
        <f t="shared" si="43"/>
        <v>3731894396</v>
      </c>
      <c r="M1236" s="20">
        <f t="shared" si="44"/>
        <v>0.86889937426894903</v>
      </c>
    </row>
    <row r="1237" spans="12:13">
      <c r="L1237" s="6">
        <f t="shared" si="43"/>
        <v>2967822568</v>
      </c>
      <c r="M1237" s="20">
        <f t="shared" si="44"/>
        <v>0.69100003875792027</v>
      </c>
    </row>
    <row r="1238" spans="12:13">
      <c r="L1238" s="6">
        <f t="shared" si="43"/>
        <v>1101607524</v>
      </c>
      <c r="M1238" s="20">
        <f t="shared" si="44"/>
        <v>0.25648798886686563</v>
      </c>
    </row>
    <row r="1239" spans="12:13">
      <c r="L1239" s="6">
        <f t="shared" si="43"/>
        <v>4214981040</v>
      </c>
      <c r="M1239" s="20">
        <f t="shared" si="44"/>
        <v>0.98137674853205681</v>
      </c>
    </row>
    <row r="1240" spans="12:13">
      <c r="L1240" s="6">
        <f t="shared" si="43"/>
        <v>812532876</v>
      </c>
      <c r="M1240" s="20">
        <f t="shared" si="44"/>
        <v>0.18918255250900984</v>
      </c>
    </row>
    <row r="1241" spans="12:13">
      <c r="L1241" s="6">
        <f t="shared" si="43"/>
        <v>1928050105</v>
      </c>
      <c r="M1241" s="20">
        <f t="shared" si="44"/>
        <v>0.44890914694406092</v>
      </c>
    </row>
    <row r="1242" spans="12:13">
      <c r="L1242" s="6">
        <f t="shared" si="43"/>
        <v>2845984256</v>
      </c>
      <c r="M1242" s="20">
        <f t="shared" si="44"/>
        <v>0.66263234615325928</v>
      </c>
    </row>
    <row r="1243" spans="12:13">
      <c r="L1243" s="6">
        <f t="shared" si="43"/>
        <v>404933788</v>
      </c>
      <c r="M1243" s="20">
        <f t="shared" si="44"/>
        <v>9.428099449723959E-2</v>
      </c>
    </row>
    <row r="1244" spans="12:13">
      <c r="L1244" s="6">
        <f t="shared" si="43"/>
        <v>1530523273</v>
      </c>
      <c r="M1244" s="20">
        <f t="shared" si="44"/>
        <v>0.35635271877981722</v>
      </c>
    </row>
    <row r="1245" spans="12:13">
      <c r="L1245" s="6">
        <f t="shared" si="43"/>
        <v>4076222608</v>
      </c>
      <c r="M1245" s="20">
        <f t="shared" si="44"/>
        <v>0.94906953349709511</v>
      </c>
    </row>
    <row r="1246" spans="12:13">
      <c r="L1246" s="6">
        <f t="shared" si="43"/>
        <v>2169892332</v>
      </c>
      <c r="M1246" s="20">
        <f t="shared" si="44"/>
        <v>0.50521742831915617</v>
      </c>
    </row>
    <row r="1247" spans="12:13">
      <c r="L1247" s="6">
        <f t="shared" ref="L1247:L1310" si="45">MOD($I$13*L1246+$J$13,2^32)</f>
        <v>1611673496</v>
      </c>
      <c r="M1247" s="20">
        <f t="shared" si="44"/>
        <v>0.37524697743356228</v>
      </c>
    </row>
    <row r="1248" spans="12:13">
      <c r="L1248" s="6">
        <f t="shared" si="45"/>
        <v>4098367828</v>
      </c>
      <c r="M1248" s="20">
        <f t="shared" si="44"/>
        <v>0.95422561932355165</v>
      </c>
    </row>
    <row r="1249" spans="12:13">
      <c r="L1249" s="6">
        <f t="shared" si="45"/>
        <v>4115485664</v>
      </c>
      <c r="M1249" s="20">
        <f t="shared" si="44"/>
        <v>0.95821117609739304</v>
      </c>
    </row>
    <row r="1250" spans="12:13">
      <c r="L1250" s="6">
        <f t="shared" si="45"/>
        <v>3267485948</v>
      </c>
      <c r="M1250" s="20">
        <f t="shared" si="44"/>
        <v>0.76077085640281439</v>
      </c>
    </row>
    <row r="1251" spans="12:13">
      <c r="L1251" s="6">
        <f t="shared" si="45"/>
        <v>2589316968</v>
      </c>
      <c r="M1251" s="20">
        <f t="shared" si="44"/>
        <v>0.60287233628332615</v>
      </c>
    </row>
    <row r="1252" spans="12:13">
      <c r="L1252" s="6">
        <f t="shared" si="45"/>
        <v>1772599012</v>
      </c>
      <c r="M1252" s="20">
        <f t="shared" si="44"/>
        <v>0.41271536890417337</v>
      </c>
    </row>
    <row r="1253" spans="12:13">
      <c r="L1253" s="6">
        <f t="shared" si="45"/>
        <v>2992028720</v>
      </c>
      <c r="M1253" s="20">
        <f t="shared" si="44"/>
        <v>0.69663597270846367</v>
      </c>
    </row>
    <row r="1254" spans="12:13">
      <c r="L1254" s="6">
        <f t="shared" si="45"/>
        <v>3266100492</v>
      </c>
      <c r="M1254" s="20">
        <f t="shared" si="44"/>
        <v>0.76044827979058027</v>
      </c>
    </row>
    <row r="1255" spans="12:13">
      <c r="L1255" s="6">
        <f t="shared" si="45"/>
        <v>3536475192</v>
      </c>
      <c r="M1255" s="20">
        <f t="shared" si="44"/>
        <v>0.82339979521930218</v>
      </c>
    </row>
    <row r="1256" spans="12:13">
      <c r="L1256" s="6">
        <f t="shared" si="45"/>
        <v>2399214964</v>
      </c>
      <c r="M1256" s="20">
        <f t="shared" si="44"/>
        <v>0.55861076433211565</v>
      </c>
    </row>
    <row r="1257" spans="12:13">
      <c r="L1257" s="6">
        <f t="shared" si="45"/>
        <v>2933178752</v>
      </c>
      <c r="M1257" s="20">
        <f t="shared" si="44"/>
        <v>0.68293389678001404</v>
      </c>
    </row>
    <row r="1258" spans="12:13">
      <c r="L1258" s="6">
        <f t="shared" si="45"/>
        <v>1367642652</v>
      </c>
      <c r="M1258" s="20">
        <f t="shared" si="44"/>
        <v>0.31842911895364523</v>
      </c>
    </row>
    <row r="1259" spans="12:13">
      <c r="L1259" s="6">
        <f t="shared" si="45"/>
        <v>1616147976</v>
      </c>
      <c r="M1259" s="20">
        <f t="shared" si="44"/>
        <v>0.37628877349197865</v>
      </c>
    </row>
    <row r="1260" spans="12:13">
      <c r="L1260" s="6">
        <f t="shared" si="45"/>
        <v>790422788</v>
      </c>
      <c r="M1260" s="20">
        <f t="shared" si="44"/>
        <v>0.18403464648872614</v>
      </c>
    </row>
    <row r="1261" spans="12:13">
      <c r="L1261" s="6">
        <f t="shared" si="45"/>
        <v>1959179217</v>
      </c>
      <c r="M1261" s="20">
        <f t="shared" si="44"/>
        <v>0.45615695812739432</v>
      </c>
    </row>
    <row r="1262" spans="12:13">
      <c r="L1262" s="6">
        <f t="shared" si="45"/>
        <v>2773493048</v>
      </c>
      <c r="M1262" s="20">
        <f t="shared" si="44"/>
        <v>0.64575417153537273</v>
      </c>
    </row>
    <row r="1263" spans="12:13">
      <c r="L1263" s="6">
        <f t="shared" si="45"/>
        <v>2341583476</v>
      </c>
      <c r="M1263" s="20">
        <f t="shared" si="44"/>
        <v>0.54519238788634539</v>
      </c>
    </row>
    <row r="1264" spans="12:13">
      <c r="L1264" s="6">
        <f t="shared" si="45"/>
        <v>2754460288</v>
      </c>
      <c r="M1264" s="20">
        <f t="shared" si="44"/>
        <v>0.64132276177406311</v>
      </c>
    </row>
    <row r="1265" spans="12:13">
      <c r="L1265" s="6">
        <f t="shared" si="45"/>
        <v>907425564</v>
      </c>
      <c r="M1265" s="20">
        <f t="shared" si="44"/>
        <v>0.21127647813409567</v>
      </c>
    </row>
    <row r="1266" spans="12:13">
      <c r="L1266" s="6">
        <f t="shared" si="45"/>
        <v>3496138505</v>
      </c>
      <c r="M1266" s="20">
        <f t="shared" si="44"/>
        <v>0.8140081784222275</v>
      </c>
    </row>
    <row r="1267" spans="12:13">
      <c r="L1267" s="6">
        <f t="shared" si="45"/>
        <v>703366928</v>
      </c>
      <c r="M1267" s="20">
        <f t="shared" si="44"/>
        <v>0.16376537457108498</v>
      </c>
    </row>
    <row r="1268" spans="12:13">
      <c r="L1268" s="6">
        <f t="shared" si="45"/>
        <v>1658350189</v>
      </c>
      <c r="M1268" s="20">
        <f t="shared" si="44"/>
        <v>0.38611474190838635</v>
      </c>
    </row>
    <row r="1269" spans="12:13">
      <c r="L1269" s="6">
        <f t="shared" si="45"/>
        <v>3652630308</v>
      </c>
      <c r="M1269" s="20">
        <f t="shared" si="44"/>
        <v>0.85044426564127207</v>
      </c>
    </row>
    <row r="1270" spans="12:13">
      <c r="L1270" s="6">
        <f t="shared" si="45"/>
        <v>503775088</v>
      </c>
      <c r="M1270" s="20">
        <f t="shared" si="44"/>
        <v>0.11729427799582481</v>
      </c>
    </row>
    <row r="1271" spans="12:13">
      <c r="L1271" s="6">
        <f t="shared" si="45"/>
        <v>921462605</v>
      </c>
      <c r="M1271" s="20">
        <f t="shared" si="44"/>
        <v>0.21454473142512143</v>
      </c>
    </row>
    <row r="1272" spans="12:13">
      <c r="L1272" s="6">
        <f t="shared" si="45"/>
        <v>866446982</v>
      </c>
      <c r="M1272" s="20">
        <f t="shared" si="44"/>
        <v>0.20173540851101279</v>
      </c>
    </row>
    <row r="1273" spans="12:13">
      <c r="L1273" s="6">
        <f t="shared" si="45"/>
        <v>2514884971</v>
      </c>
      <c r="M1273" s="20">
        <f t="shared" si="44"/>
        <v>0.58554228651337326</v>
      </c>
    </row>
    <row r="1274" spans="12:13">
      <c r="L1274" s="6">
        <f t="shared" si="45"/>
        <v>3995349004</v>
      </c>
      <c r="M1274" s="20">
        <f t="shared" si="44"/>
        <v>0.93023968022316694</v>
      </c>
    </row>
    <row r="1275" spans="12:13">
      <c r="L1275" s="6">
        <f t="shared" si="45"/>
        <v>2301242168</v>
      </c>
      <c r="M1275" s="20">
        <f t="shared" si="44"/>
        <v>0.53579969517886639</v>
      </c>
    </row>
    <row r="1276" spans="12:13">
      <c r="L1276" s="6">
        <f t="shared" si="45"/>
        <v>1038223476</v>
      </c>
      <c r="M1276" s="20">
        <f t="shared" si="44"/>
        <v>0.24173024017363787</v>
      </c>
    </row>
    <row r="1277" spans="12:13">
      <c r="L1277" s="6">
        <f t="shared" si="45"/>
        <v>728215681</v>
      </c>
      <c r="M1277" s="20">
        <f t="shared" si="44"/>
        <v>0.169550925726071</v>
      </c>
    </row>
    <row r="1278" spans="12:13">
      <c r="L1278" s="6">
        <f t="shared" si="45"/>
        <v>427125290</v>
      </c>
      <c r="M1278" s="20">
        <f t="shared" si="44"/>
        <v>9.9447856191545725E-2</v>
      </c>
    </row>
    <row r="1279" spans="12:13">
      <c r="L1279" s="6">
        <f t="shared" si="45"/>
        <v>4282602687</v>
      </c>
      <c r="M1279" s="20">
        <f t="shared" si="44"/>
        <v>0.99712114012800157</v>
      </c>
    </row>
    <row r="1280" spans="12:13">
      <c r="L1280" s="6">
        <f t="shared" si="45"/>
        <v>2709428048</v>
      </c>
      <c r="M1280" s="20">
        <f t="shared" si="44"/>
        <v>0.63083787634968758</v>
      </c>
    </row>
    <row r="1281" spans="12:13">
      <c r="L1281" s="6">
        <f t="shared" si="45"/>
        <v>3397418412</v>
      </c>
      <c r="M1281" s="20">
        <f t="shared" si="44"/>
        <v>0.79102311562746763</v>
      </c>
    </row>
    <row r="1282" spans="12:13">
      <c r="L1282" s="6">
        <f t="shared" si="45"/>
        <v>2132556888</v>
      </c>
      <c r="M1282" s="20">
        <f t="shared" si="44"/>
        <v>0.49652459286153316</v>
      </c>
    </row>
    <row r="1283" spans="12:13">
      <c r="L1283" s="6">
        <f t="shared" si="45"/>
        <v>1613268756</v>
      </c>
      <c r="M1283" s="20">
        <f t="shared" si="44"/>
        <v>0.37561840284615755</v>
      </c>
    </row>
    <row r="1284" spans="12:13">
      <c r="L1284" s="6">
        <f t="shared" si="45"/>
        <v>2447589024</v>
      </c>
      <c r="M1284" s="20">
        <f t="shared" si="44"/>
        <v>0.56987372785806656</v>
      </c>
    </row>
    <row r="1285" spans="12:13">
      <c r="L1285" s="6">
        <f t="shared" si="45"/>
        <v>714640572</v>
      </c>
      <c r="M1285" s="20">
        <f t="shared" ref="M1285:M1348" si="46">L1285/2^32</f>
        <v>0.16639022435992956</v>
      </c>
    </row>
    <row r="1286" spans="12:13">
      <c r="L1286" s="6">
        <f t="shared" si="45"/>
        <v>3689631785</v>
      </c>
      <c r="M1286" s="20">
        <f t="shared" si="46"/>
        <v>0.85905934334732592</v>
      </c>
    </row>
    <row r="1287" spans="12:13">
      <c r="L1287" s="6">
        <f t="shared" si="45"/>
        <v>1415466416</v>
      </c>
      <c r="M1287" s="20">
        <f t="shared" si="46"/>
        <v>0.32956395670771599</v>
      </c>
    </row>
    <row r="1288" spans="12:13">
      <c r="L1288" s="6">
        <f t="shared" si="45"/>
        <v>2238619788</v>
      </c>
      <c r="M1288" s="20">
        <f t="shared" si="46"/>
        <v>0.52121928613632917</v>
      </c>
    </row>
    <row r="1289" spans="12:13">
      <c r="L1289" s="6">
        <f t="shared" si="45"/>
        <v>2835112376</v>
      </c>
      <c r="M1289" s="20">
        <f t="shared" si="46"/>
        <v>0.66010103933513165</v>
      </c>
    </row>
    <row r="1290" spans="12:13">
      <c r="L1290" s="6">
        <f t="shared" si="45"/>
        <v>2241285364</v>
      </c>
      <c r="M1290" s="20">
        <f t="shared" si="46"/>
        <v>0.52183991391211748</v>
      </c>
    </row>
    <row r="1291" spans="12:13">
      <c r="L1291" s="6">
        <f t="shared" si="45"/>
        <v>4102728448</v>
      </c>
      <c r="M1291" s="20">
        <f t="shared" si="46"/>
        <v>0.95524090528488159</v>
      </c>
    </row>
    <row r="1292" spans="12:13">
      <c r="L1292" s="6">
        <f t="shared" si="45"/>
        <v>1348005276</v>
      </c>
      <c r="M1292" s="20">
        <f t="shared" si="46"/>
        <v>0.31385693605989218</v>
      </c>
    </row>
    <row r="1293" spans="12:13">
      <c r="L1293" s="6">
        <f t="shared" si="45"/>
        <v>3662584712</v>
      </c>
      <c r="M1293" s="20">
        <f t="shared" si="46"/>
        <v>0.85276195593178272</v>
      </c>
    </row>
    <row r="1294" spans="12:13">
      <c r="L1294" s="6">
        <f t="shared" si="45"/>
        <v>3621014660</v>
      </c>
      <c r="M1294" s="20">
        <f t="shared" si="46"/>
        <v>0.84308317396789789</v>
      </c>
    </row>
    <row r="1295" spans="12:13">
      <c r="L1295" s="6">
        <f t="shared" si="45"/>
        <v>180647248</v>
      </c>
      <c r="M1295" s="20">
        <f t="shared" si="46"/>
        <v>4.2060215026140213E-2</v>
      </c>
    </row>
    <row r="1296" spans="12:13">
      <c r="L1296" s="6">
        <f t="shared" si="45"/>
        <v>2869085101</v>
      </c>
      <c r="M1296" s="20">
        <f t="shared" si="46"/>
        <v>0.66801093076355755</v>
      </c>
    </row>
    <row r="1297" spans="12:13">
      <c r="L1297" s="6">
        <f t="shared" si="45"/>
        <v>3149365092</v>
      </c>
      <c r="M1297" s="20">
        <f t="shared" si="46"/>
        <v>0.73326870147138834</v>
      </c>
    </row>
    <row r="1298" spans="12:13">
      <c r="L1298" s="6">
        <f t="shared" si="45"/>
        <v>2103863984</v>
      </c>
      <c r="M1298" s="20">
        <f t="shared" si="46"/>
        <v>0.48984400555491447</v>
      </c>
    </row>
    <row r="1299" spans="12:13">
      <c r="L1299" s="6">
        <f t="shared" si="45"/>
        <v>3126401420</v>
      </c>
      <c r="M1299" s="20">
        <f t="shared" si="46"/>
        <v>0.727922054938972</v>
      </c>
    </row>
    <row r="1300" spans="12:13">
      <c r="L1300" s="6">
        <f t="shared" si="45"/>
        <v>661751480</v>
      </c>
      <c r="M1300" s="20">
        <f t="shared" si="46"/>
        <v>0.15407602302730083</v>
      </c>
    </row>
    <row r="1301" spans="12:13">
      <c r="L1301" s="6">
        <f t="shared" si="45"/>
        <v>531836405</v>
      </c>
      <c r="M1301" s="20">
        <f t="shared" si="46"/>
        <v>0.12382781249471009</v>
      </c>
    </row>
    <row r="1302" spans="12:13">
      <c r="L1302" s="6">
        <f t="shared" si="45"/>
        <v>495570190</v>
      </c>
      <c r="M1302" s="20">
        <f t="shared" si="46"/>
        <v>0.11538392631337047</v>
      </c>
    </row>
    <row r="1303" spans="12:13">
      <c r="L1303" s="6">
        <f t="shared" si="45"/>
        <v>2907934291</v>
      </c>
      <c r="M1303" s="20">
        <f t="shared" si="46"/>
        <v>0.67705621267668903</v>
      </c>
    </row>
    <row r="1304" spans="12:13">
      <c r="L1304" s="6">
        <f t="shared" si="45"/>
        <v>2171807700</v>
      </c>
      <c r="M1304" s="20">
        <f t="shared" si="46"/>
        <v>0.50566338468343019</v>
      </c>
    </row>
    <row r="1305" spans="12:13">
      <c r="L1305" s="6">
        <f t="shared" si="45"/>
        <v>3314886752</v>
      </c>
      <c r="M1305" s="20">
        <f t="shared" si="46"/>
        <v>0.77180721610784531</v>
      </c>
    </row>
    <row r="1306" spans="12:13">
      <c r="L1306" s="6">
        <f t="shared" si="45"/>
        <v>2334534524</v>
      </c>
      <c r="M1306" s="20">
        <f t="shared" si="46"/>
        <v>0.54355117585510015</v>
      </c>
    </row>
    <row r="1307" spans="12:13">
      <c r="L1307" s="6">
        <f t="shared" si="45"/>
        <v>2778341352</v>
      </c>
      <c r="M1307" s="20">
        <f t="shared" si="46"/>
        <v>0.64688300527632236</v>
      </c>
    </row>
    <row r="1308" spans="12:13">
      <c r="L1308" s="6">
        <f t="shared" si="45"/>
        <v>987882852</v>
      </c>
      <c r="M1308" s="20">
        <f t="shared" si="46"/>
        <v>0.23000940028578043</v>
      </c>
    </row>
    <row r="1309" spans="12:13">
      <c r="L1309" s="6">
        <f t="shared" si="45"/>
        <v>2259392689</v>
      </c>
      <c r="M1309" s="20">
        <f t="shared" si="46"/>
        <v>0.52605585404671729</v>
      </c>
    </row>
    <row r="1310" spans="12:13">
      <c r="L1310" s="6">
        <f t="shared" si="45"/>
        <v>4007797912</v>
      </c>
      <c r="M1310" s="20">
        <f t="shared" si="46"/>
        <v>0.93313816748559475</v>
      </c>
    </row>
    <row r="1311" spans="12:13">
      <c r="L1311" s="6">
        <f t="shared" ref="L1311:L1374" si="47">MOD($I$13*L1310+$J$13,2^32)</f>
        <v>841650772</v>
      </c>
      <c r="M1311" s="20">
        <f t="shared" si="46"/>
        <v>0.19596209097653627</v>
      </c>
    </row>
    <row r="1312" spans="12:13">
      <c r="L1312" s="6">
        <f t="shared" si="47"/>
        <v>1118965985</v>
      </c>
      <c r="M1312" s="20">
        <f t="shared" si="46"/>
        <v>0.26052957051433623</v>
      </c>
    </row>
    <row r="1313" spans="12:13">
      <c r="L1313" s="6">
        <f t="shared" si="47"/>
        <v>2919247624</v>
      </c>
      <c r="M1313" s="20">
        <f t="shared" si="46"/>
        <v>0.67969030328094959</v>
      </c>
    </row>
    <row r="1314" spans="12:13">
      <c r="L1314" s="6">
        <f t="shared" si="47"/>
        <v>1369590276</v>
      </c>
      <c r="M1314" s="20">
        <f t="shared" si="46"/>
        <v>0.31888258550316095</v>
      </c>
    </row>
    <row r="1315" spans="12:13">
      <c r="L1315" s="6">
        <f t="shared" si="47"/>
        <v>2700465360</v>
      </c>
      <c r="M1315" s="20">
        <f t="shared" si="46"/>
        <v>0.62875108793377876</v>
      </c>
    </row>
    <row r="1316" spans="12:13">
      <c r="L1316" s="6">
        <f t="shared" si="47"/>
        <v>2492079404</v>
      </c>
      <c r="M1316" s="20">
        <f t="shared" si="46"/>
        <v>0.58023245166987181</v>
      </c>
    </row>
    <row r="1317" spans="12:13">
      <c r="L1317" s="6">
        <f t="shared" si="47"/>
        <v>2950616536</v>
      </c>
      <c r="M1317" s="20">
        <f t="shared" si="46"/>
        <v>0.68699394725263119</v>
      </c>
    </row>
    <row r="1318" spans="12:13">
      <c r="L1318" s="6">
        <f t="shared" si="47"/>
        <v>2534527636</v>
      </c>
      <c r="M1318" s="20">
        <f t="shared" si="46"/>
        <v>0.59011570084840059</v>
      </c>
    </row>
    <row r="1319" spans="12:13">
      <c r="L1319" s="6">
        <f t="shared" si="47"/>
        <v>3265106976</v>
      </c>
      <c r="M1319" s="20">
        <f t="shared" si="46"/>
        <v>0.76021695882081985</v>
      </c>
    </row>
    <row r="1320" spans="12:13">
      <c r="L1320" s="6">
        <f t="shared" si="47"/>
        <v>3439486012</v>
      </c>
      <c r="M1320" s="20">
        <f t="shared" si="46"/>
        <v>0.80081774201244116</v>
      </c>
    </row>
    <row r="1321" spans="12:13">
      <c r="L1321" s="6">
        <f t="shared" si="47"/>
        <v>3643326888</v>
      </c>
      <c r="M1321" s="20">
        <f t="shared" si="46"/>
        <v>0.84827814437448978</v>
      </c>
    </row>
    <row r="1322" spans="12:13">
      <c r="L1322" s="6">
        <f t="shared" si="47"/>
        <v>4022131748</v>
      </c>
      <c r="M1322" s="20">
        <f t="shared" si="46"/>
        <v>0.93647552374750376</v>
      </c>
    </row>
    <row r="1323" spans="12:13">
      <c r="L1323" s="6">
        <f t="shared" si="47"/>
        <v>4018135152</v>
      </c>
      <c r="M1323" s="20">
        <f t="shared" si="46"/>
        <v>0.93554499372839928</v>
      </c>
    </row>
    <row r="1324" spans="12:13">
      <c r="L1324" s="6">
        <f t="shared" si="47"/>
        <v>4028945484</v>
      </c>
      <c r="M1324" s="20">
        <f t="shared" si="46"/>
        <v>0.9380619702860713</v>
      </c>
    </row>
    <row r="1325" spans="12:13">
      <c r="L1325" s="6">
        <f t="shared" si="47"/>
        <v>2467545720</v>
      </c>
      <c r="M1325" s="20">
        <f t="shared" si="46"/>
        <v>0.57452025823295116</v>
      </c>
    </row>
    <row r="1326" spans="12:13">
      <c r="L1326" s="6">
        <f t="shared" si="47"/>
        <v>4017026740</v>
      </c>
      <c r="M1326" s="20">
        <f t="shared" si="46"/>
        <v>0.9352869214490056</v>
      </c>
    </row>
    <row r="1327" spans="12:13">
      <c r="L1327" s="6">
        <f t="shared" si="47"/>
        <v>96668096</v>
      </c>
      <c r="M1327" s="20">
        <f t="shared" si="46"/>
        <v>2.250729501247406E-2</v>
      </c>
    </row>
    <row r="1328" spans="12:13">
      <c r="L1328" s="6">
        <f t="shared" si="47"/>
        <v>208895325</v>
      </c>
      <c r="M1328" s="20">
        <f t="shared" si="46"/>
        <v>4.8637232976034284E-2</v>
      </c>
    </row>
    <row r="1329" spans="12:13">
      <c r="L1329" s="6">
        <f t="shared" si="47"/>
        <v>2148162902</v>
      </c>
      <c r="M1329" s="20">
        <f t="shared" si="46"/>
        <v>0.50015815114602447</v>
      </c>
    </row>
    <row r="1330" spans="12:13">
      <c r="L1330" s="6">
        <f t="shared" si="47"/>
        <v>664127996</v>
      </c>
      <c r="M1330" s="20">
        <f t="shared" si="46"/>
        <v>0.15462934877723455</v>
      </c>
    </row>
    <row r="1331" spans="12:13">
      <c r="L1331" s="6">
        <f t="shared" si="47"/>
        <v>601205865</v>
      </c>
      <c r="M1331" s="20">
        <f t="shared" si="46"/>
        <v>0.13997914851643145</v>
      </c>
    </row>
    <row r="1332" spans="12:13">
      <c r="L1332" s="6">
        <f t="shared" si="47"/>
        <v>1916681458</v>
      </c>
      <c r="M1332" s="20">
        <f t="shared" si="46"/>
        <v>0.44626217754557729</v>
      </c>
    </row>
    <row r="1333" spans="12:13">
      <c r="L1333" s="6">
        <f t="shared" si="47"/>
        <v>263549160</v>
      </c>
      <c r="M1333" s="20">
        <f t="shared" si="46"/>
        <v>6.1362320557236671E-2</v>
      </c>
    </row>
    <row r="1334" spans="12:13">
      <c r="L1334" s="6">
        <f t="shared" si="47"/>
        <v>495583845</v>
      </c>
      <c r="M1334" s="20">
        <f t="shared" si="46"/>
        <v>0.11538710561580956</v>
      </c>
    </row>
    <row r="1335" spans="12:13">
      <c r="L1335" s="6">
        <f t="shared" si="47"/>
        <v>1228261054</v>
      </c>
      <c r="M1335" s="20">
        <f t="shared" si="46"/>
        <v>0.28597681177780032</v>
      </c>
    </row>
    <row r="1336" spans="12:13">
      <c r="L1336" s="6">
        <f t="shared" si="47"/>
        <v>1525197892</v>
      </c>
      <c r="M1336" s="20">
        <f t="shared" si="46"/>
        <v>0.35511280689388514</v>
      </c>
    </row>
    <row r="1337" spans="12:13">
      <c r="L1337" s="6">
        <f t="shared" si="47"/>
        <v>2596278800</v>
      </c>
      <c r="M1337" s="20">
        <f t="shared" si="46"/>
        <v>0.60449326410889626</v>
      </c>
    </row>
    <row r="1338" spans="12:13">
      <c r="L1338" s="6">
        <f t="shared" si="47"/>
        <v>2749200748</v>
      </c>
      <c r="M1338" s="20">
        <f t="shared" si="46"/>
        <v>0.64009817969053984</v>
      </c>
    </row>
    <row r="1339" spans="12:13">
      <c r="L1339" s="6">
        <f t="shared" si="47"/>
        <v>722715928</v>
      </c>
      <c r="M1339" s="20">
        <f t="shared" si="46"/>
        <v>0.1682704146951437</v>
      </c>
    </row>
    <row r="1340" spans="12:13">
      <c r="L1340" s="6">
        <f t="shared" si="47"/>
        <v>4138350805</v>
      </c>
      <c r="M1340" s="20">
        <f t="shared" si="46"/>
        <v>0.96353488159365952</v>
      </c>
    </row>
    <row r="1341" spans="12:13">
      <c r="L1341" s="6">
        <f t="shared" si="47"/>
        <v>400931436</v>
      </c>
      <c r="M1341" s="20">
        <f t="shared" si="46"/>
        <v>9.3349124304950237E-2</v>
      </c>
    </row>
    <row r="1342" spans="12:13">
      <c r="L1342" s="6">
        <f t="shared" si="47"/>
        <v>611586585</v>
      </c>
      <c r="M1342" s="20">
        <f t="shared" si="46"/>
        <v>0.14239609823562205</v>
      </c>
    </row>
    <row r="1343" spans="12:13">
      <c r="L1343" s="6">
        <f t="shared" si="47"/>
        <v>3934181090</v>
      </c>
      <c r="M1343" s="20">
        <f t="shared" si="46"/>
        <v>0.9159979154355824</v>
      </c>
    </row>
    <row r="1344" spans="12:13">
      <c r="L1344" s="6">
        <f t="shared" si="47"/>
        <v>904131092</v>
      </c>
      <c r="M1344" s="20">
        <f t="shared" si="46"/>
        <v>0.21050942409783602</v>
      </c>
    </row>
    <row r="1345" spans="12:13">
      <c r="L1345" s="6">
        <f t="shared" si="47"/>
        <v>68070817</v>
      </c>
      <c r="M1345" s="20">
        <f t="shared" si="46"/>
        <v>1.5848972136154771E-2</v>
      </c>
    </row>
    <row r="1346" spans="12:13">
      <c r="L1346" s="6">
        <f t="shared" si="47"/>
        <v>3183994058</v>
      </c>
      <c r="M1346" s="20">
        <f t="shared" si="46"/>
        <v>0.74133138591423631</v>
      </c>
    </row>
    <row r="1347" spans="12:13">
      <c r="L1347" s="6">
        <f t="shared" si="47"/>
        <v>2105978588</v>
      </c>
      <c r="M1347" s="20">
        <f t="shared" si="46"/>
        <v>0.49033635016530752</v>
      </c>
    </row>
    <row r="1348" spans="12:13">
      <c r="L1348" s="6">
        <f t="shared" si="47"/>
        <v>1577298888</v>
      </c>
      <c r="M1348" s="20">
        <f t="shared" si="46"/>
        <v>0.36724351532757282</v>
      </c>
    </row>
    <row r="1349" spans="12:13">
      <c r="L1349" s="6">
        <f t="shared" si="47"/>
        <v>2621661124</v>
      </c>
      <c r="M1349" s="20">
        <f t="shared" ref="M1349:M1412" si="48">L1349/2^32</f>
        <v>0.61040304694324732</v>
      </c>
    </row>
    <row r="1350" spans="12:13">
      <c r="L1350" s="6">
        <f t="shared" si="47"/>
        <v>432320400</v>
      </c>
      <c r="M1350" s="20">
        <f t="shared" si="48"/>
        <v>0.10065743699669838</v>
      </c>
    </row>
    <row r="1351" spans="12:13">
      <c r="L1351" s="6">
        <f t="shared" si="47"/>
        <v>2096429293</v>
      </c>
      <c r="M1351" s="20">
        <f t="shared" si="48"/>
        <v>0.48811298166401684</v>
      </c>
    </row>
    <row r="1352" spans="12:13">
      <c r="L1352" s="6">
        <f t="shared" si="47"/>
        <v>258634660</v>
      </c>
      <c r="M1352" s="20">
        <f t="shared" si="48"/>
        <v>6.0218074358999729E-2</v>
      </c>
    </row>
    <row r="1353" spans="12:13">
      <c r="L1353" s="6">
        <f t="shared" si="47"/>
        <v>1877873137</v>
      </c>
      <c r="M1353" s="20">
        <f t="shared" si="48"/>
        <v>0.4372264111880213</v>
      </c>
    </row>
    <row r="1354" spans="12:13">
      <c r="L1354" s="6">
        <f t="shared" si="47"/>
        <v>3988557016</v>
      </c>
      <c r="M1354" s="20">
        <f t="shared" si="48"/>
        <v>0.92865829728543758</v>
      </c>
    </row>
    <row r="1355" spans="12:13">
      <c r="L1355" s="6">
        <f t="shared" si="47"/>
        <v>1186405780</v>
      </c>
      <c r="M1355" s="20">
        <f t="shared" si="48"/>
        <v>0.27623162139207125</v>
      </c>
    </row>
    <row r="1356" spans="12:13">
      <c r="L1356" s="6">
        <f t="shared" si="47"/>
        <v>3238617888</v>
      </c>
      <c r="M1356" s="20">
        <f t="shared" si="48"/>
        <v>0.75404948741197586</v>
      </c>
    </row>
    <row r="1357" spans="12:13">
      <c r="L1357" s="6">
        <f t="shared" si="47"/>
        <v>2731992892</v>
      </c>
      <c r="M1357" s="20">
        <f t="shared" si="48"/>
        <v>0.63609166350215673</v>
      </c>
    </row>
    <row r="1358" spans="12:13">
      <c r="L1358" s="6">
        <f t="shared" si="47"/>
        <v>4069681320</v>
      </c>
      <c r="M1358" s="20">
        <f t="shared" si="48"/>
        <v>0.94754652120172977</v>
      </c>
    </row>
    <row r="1359" spans="12:13">
      <c r="L1359" s="6">
        <f t="shared" si="47"/>
        <v>3324860196</v>
      </c>
      <c r="M1359" s="20">
        <f t="shared" si="48"/>
        <v>0.77412933949381113</v>
      </c>
    </row>
    <row r="1360" spans="12:13">
      <c r="L1360" s="6">
        <f t="shared" si="47"/>
        <v>1596792688</v>
      </c>
      <c r="M1360" s="20">
        <f t="shared" si="48"/>
        <v>0.37178226932883263</v>
      </c>
    </row>
    <row r="1361" spans="12:13">
      <c r="L1361" s="6">
        <f t="shared" si="47"/>
        <v>1518077772</v>
      </c>
      <c r="M1361" s="20">
        <f t="shared" si="48"/>
        <v>0.35345502477139235</v>
      </c>
    </row>
    <row r="1362" spans="12:13">
      <c r="L1362" s="6">
        <f t="shared" si="47"/>
        <v>3985660280</v>
      </c>
      <c r="M1362" s="20">
        <f t="shared" si="48"/>
        <v>0.92798384837806225</v>
      </c>
    </row>
    <row r="1363" spans="12:13">
      <c r="L1363" s="6">
        <f t="shared" si="47"/>
        <v>2273681844</v>
      </c>
      <c r="M1363" s="20">
        <f t="shared" si="48"/>
        <v>0.5293828072026372</v>
      </c>
    </row>
    <row r="1364" spans="12:13">
      <c r="L1364" s="6">
        <f t="shared" si="47"/>
        <v>2597370048</v>
      </c>
      <c r="M1364" s="20">
        <f t="shared" si="48"/>
        <v>0.60474734008312225</v>
      </c>
    </row>
    <row r="1365" spans="12:13">
      <c r="L1365" s="6">
        <f t="shared" si="47"/>
        <v>467689564</v>
      </c>
      <c r="M1365" s="20">
        <f t="shared" si="48"/>
        <v>0.10889246221631765</v>
      </c>
    </row>
    <row r="1366" spans="12:13">
      <c r="L1366" s="6">
        <f t="shared" si="47"/>
        <v>3784388425</v>
      </c>
      <c r="M1366" s="20">
        <f t="shared" si="48"/>
        <v>0.88112159282900393</v>
      </c>
    </row>
    <row r="1367" spans="12:13">
      <c r="L1367" s="6">
        <f t="shared" si="47"/>
        <v>2506900048</v>
      </c>
      <c r="M1367" s="20">
        <f t="shared" si="48"/>
        <v>0.58368315175175667</v>
      </c>
    </row>
    <row r="1368" spans="12:13">
      <c r="L1368" s="6">
        <f t="shared" si="47"/>
        <v>209267884</v>
      </c>
      <c r="M1368" s="20">
        <f t="shared" si="48"/>
        <v>4.8723976127803326E-2</v>
      </c>
    </row>
    <row r="1369" spans="12:13">
      <c r="L1369" s="6">
        <f t="shared" si="47"/>
        <v>2105024345</v>
      </c>
      <c r="M1369" s="20">
        <f t="shared" si="48"/>
        <v>0.49011417315341532</v>
      </c>
    </row>
    <row r="1370" spans="12:13">
      <c r="L1370" s="6">
        <f t="shared" si="47"/>
        <v>3755066144</v>
      </c>
      <c r="M1370" s="20">
        <f t="shared" si="48"/>
        <v>0.8742944672703743</v>
      </c>
    </row>
    <row r="1371" spans="12:13">
      <c r="L1371" s="6">
        <f t="shared" si="47"/>
        <v>2128856892</v>
      </c>
      <c r="M1371" s="20">
        <f t="shared" si="48"/>
        <v>0.49566312041133642</v>
      </c>
    </row>
    <row r="1372" spans="12:13">
      <c r="L1372" s="6">
        <f t="shared" si="47"/>
        <v>1503250600</v>
      </c>
      <c r="M1372" s="20">
        <f t="shared" si="48"/>
        <v>0.35000280477106571</v>
      </c>
    </row>
    <row r="1373" spans="12:13">
      <c r="L1373" s="6">
        <f t="shared" si="47"/>
        <v>3631036196</v>
      </c>
      <c r="M1373" s="20">
        <f t="shared" si="48"/>
        <v>0.84541649464517832</v>
      </c>
    </row>
    <row r="1374" spans="12:13">
      <c r="L1374" s="6">
        <f t="shared" si="47"/>
        <v>2513141616</v>
      </c>
      <c r="M1374" s="20">
        <f t="shared" si="48"/>
        <v>0.58513638004660606</v>
      </c>
    </row>
    <row r="1375" spans="12:13">
      <c r="L1375" s="6">
        <f t="shared" ref="L1375:L1438" si="49">MOD($I$13*L1374+$J$13,2^32)</f>
        <v>3127306060</v>
      </c>
      <c r="M1375" s="20">
        <f t="shared" si="48"/>
        <v>0.72813268285244703</v>
      </c>
    </row>
    <row r="1376" spans="12:13">
      <c r="L1376" s="6">
        <f t="shared" si="49"/>
        <v>4242389368</v>
      </c>
      <c r="M1376" s="20">
        <f t="shared" si="48"/>
        <v>0.98775824718177319</v>
      </c>
    </row>
    <row r="1377" spans="12:13">
      <c r="L1377" s="6">
        <f t="shared" si="49"/>
        <v>2740158900</v>
      </c>
      <c r="M1377" s="20">
        <f t="shared" si="48"/>
        <v>0.63799296040087938</v>
      </c>
    </row>
    <row r="1378" spans="12:13">
      <c r="L1378" s="6">
        <f t="shared" si="49"/>
        <v>3013941440</v>
      </c>
      <c r="M1378" s="20">
        <f t="shared" si="48"/>
        <v>0.70173792541027069</v>
      </c>
    </row>
    <row r="1379" spans="12:13">
      <c r="L1379" s="6">
        <f t="shared" si="49"/>
        <v>646529116</v>
      </c>
      <c r="M1379" s="20">
        <f t="shared" si="48"/>
        <v>0.15053179021924734</v>
      </c>
    </row>
    <row r="1380" spans="12:13">
      <c r="L1380" s="6">
        <f t="shared" si="49"/>
        <v>4068773705</v>
      </c>
      <c r="M1380" s="20">
        <f t="shared" si="48"/>
        <v>0.94733520061708987</v>
      </c>
    </row>
    <row r="1381" spans="12:13">
      <c r="L1381" s="6">
        <f t="shared" si="49"/>
        <v>614998608</v>
      </c>
      <c r="M1381" s="20">
        <f t="shared" si="48"/>
        <v>0.14319052174687386</v>
      </c>
    </row>
    <row r="1382" spans="12:13">
      <c r="L1382" s="6">
        <f t="shared" si="49"/>
        <v>3353578669</v>
      </c>
      <c r="M1382" s="20">
        <f t="shared" si="48"/>
        <v>0.78081588004715741</v>
      </c>
    </row>
    <row r="1383" spans="12:13">
      <c r="L1383" s="6">
        <f t="shared" si="49"/>
        <v>3627988068</v>
      </c>
      <c r="M1383" s="20">
        <f t="shared" si="48"/>
        <v>0.84470679704099894</v>
      </c>
    </row>
    <row r="1384" spans="12:13">
      <c r="L1384" s="6">
        <f t="shared" si="49"/>
        <v>3552385968</v>
      </c>
      <c r="M1384" s="20">
        <f t="shared" si="48"/>
        <v>0.82710431143641472</v>
      </c>
    </row>
    <row r="1385" spans="12:13">
      <c r="L1385" s="6">
        <f t="shared" si="49"/>
        <v>920983180</v>
      </c>
      <c r="M1385" s="20">
        <f t="shared" si="48"/>
        <v>0.21443310659378767</v>
      </c>
    </row>
    <row r="1386" spans="12:13">
      <c r="L1386" s="6">
        <f t="shared" si="49"/>
        <v>4151205817</v>
      </c>
      <c r="M1386" s="20">
        <f t="shared" si="48"/>
        <v>0.96652792231179774</v>
      </c>
    </row>
    <row r="1387" spans="12:13">
      <c r="L1387" s="6">
        <f t="shared" si="49"/>
        <v>477554688</v>
      </c>
      <c r="M1387" s="20">
        <f t="shared" si="48"/>
        <v>0.11118936538696289</v>
      </c>
    </row>
    <row r="1388" spans="12:13">
      <c r="L1388" s="6">
        <f t="shared" si="49"/>
        <v>2709063325</v>
      </c>
      <c r="M1388" s="20">
        <f t="shared" si="48"/>
        <v>0.63075295765884221</v>
      </c>
    </row>
    <row r="1389" spans="12:13">
      <c r="L1389" s="6">
        <f t="shared" si="49"/>
        <v>303863188</v>
      </c>
      <c r="M1389" s="20">
        <f t="shared" si="48"/>
        <v>7.0748661644756794E-2</v>
      </c>
    </row>
    <row r="1390" spans="12:13">
      <c r="L1390" s="6">
        <f t="shared" si="49"/>
        <v>1527282465</v>
      </c>
      <c r="M1390" s="20">
        <f t="shared" si="48"/>
        <v>0.35559815936721861</v>
      </c>
    </row>
    <row r="1391" spans="12:13">
      <c r="L1391" s="6">
        <f t="shared" si="49"/>
        <v>3108164680</v>
      </c>
      <c r="M1391" s="20">
        <f t="shared" si="48"/>
        <v>0.72367598302662373</v>
      </c>
    </row>
    <row r="1392" spans="12:13">
      <c r="L1392" s="6">
        <f t="shared" si="49"/>
        <v>4254789188</v>
      </c>
      <c r="M1392" s="20">
        <f t="shared" si="48"/>
        <v>0.99064530525356531</v>
      </c>
    </row>
    <row r="1393" spans="12:13">
      <c r="L1393" s="6">
        <f t="shared" si="49"/>
        <v>2759289872</v>
      </c>
      <c r="M1393" s="20">
        <f t="shared" si="48"/>
        <v>0.64244723692536354</v>
      </c>
    </row>
    <row r="1394" spans="12:13">
      <c r="L1394" s="6">
        <f t="shared" si="49"/>
        <v>1791953772</v>
      </c>
      <c r="M1394" s="20">
        <f t="shared" si="48"/>
        <v>0.41722175013273954</v>
      </c>
    </row>
    <row r="1395" spans="12:13">
      <c r="L1395" s="6">
        <f t="shared" si="49"/>
        <v>2140286744</v>
      </c>
      <c r="M1395" s="20">
        <f t="shared" si="48"/>
        <v>0.49832434020936489</v>
      </c>
    </row>
    <row r="1396" spans="12:13">
      <c r="L1396" s="6">
        <f t="shared" si="49"/>
        <v>940022484</v>
      </c>
      <c r="M1396" s="20">
        <f t="shared" si="48"/>
        <v>0.21886603999882936</v>
      </c>
    </row>
    <row r="1397" spans="12:13">
      <c r="L1397" s="6">
        <f t="shared" si="49"/>
        <v>225312609</v>
      </c>
      <c r="M1397" s="20">
        <f t="shared" si="48"/>
        <v>5.2459679776802659E-2</v>
      </c>
    </row>
    <row r="1398" spans="12:13">
      <c r="L1398" s="6">
        <f t="shared" si="49"/>
        <v>715901834</v>
      </c>
      <c r="M1398" s="20">
        <f t="shared" si="48"/>
        <v>0.16668388480320573</v>
      </c>
    </row>
    <row r="1399" spans="12:13">
      <c r="L1399" s="6">
        <f t="shared" si="49"/>
        <v>2692687519</v>
      </c>
      <c r="M1399" s="20">
        <f t="shared" si="48"/>
        <v>0.62694016820751131</v>
      </c>
    </row>
    <row r="1400" spans="12:13">
      <c r="L1400" s="6">
        <f t="shared" si="49"/>
        <v>990617520</v>
      </c>
      <c r="M1400" s="20">
        <f t="shared" si="48"/>
        <v>0.23064611479640007</v>
      </c>
    </row>
    <row r="1401" spans="12:13">
      <c r="L1401" s="6">
        <f t="shared" si="49"/>
        <v>1966459533</v>
      </c>
      <c r="M1401" s="20">
        <f t="shared" si="48"/>
        <v>0.45785203878767788</v>
      </c>
    </row>
    <row r="1402" spans="12:13">
      <c r="L1402" s="6">
        <f t="shared" si="49"/>
        <v>2102081732</v>
      </c>
      <c r="M1402" s="20">
        <f t="shared" si="48"/>
        <v>0.48942904267460108</v>
      </c>
    </row>
    <row r="1403" spans="12:13">
      <c r="L1403" s="6">
        <f t="shared" si="49"/>
        <v>3130504336</v>
      </c>
      <c r="M1403" s="20">
        <f t="shared" si="48"/>
        <v>0.72887733951210976</v>
      </c>
    </row>
    <row r="1404" spans="12:13">
      <c r="L1404" s="6">
        <f t="shared" si="49"/>
        <v>1429551596</v>
      </c>
      <c r="M1404" s="20">
        <f t="shared" si="48"/>
        <v>0.3328434182330966</v>
      </c>
    </row>
    <row r="1405" spans="12:13">
      <c r="L1405" s="6">
        <f t="shared" si="49"/>
        <v>3072527256</v>
      </c>
      <c r="M1405" s="20">
        <f t="shared" si="48"/>
        <v>0.71537849865853786</v>
      </c>
    </row>
    <row r="1406" spans="12:13">
      <c r="L1406" s="6">
        <f t="shared" si="49"/>
        <v>3653848404</v>
      </c>
      <c r="M1406" s="20">
        <f t="shared" si="48"/>
        <v>0.85072787571698427</v>
      </c>
    </row>
    <row r="1407" spans="12:13">
      <c r="L1407" s="6">
        <f t="shared" si="49"/>
        <v>3304624096</v>
      </c>
      <c r="M1407" s="20">
        <f t="shared" si="48"/>
        <v>0.76941775530576706</v>
      </c>
    </row>
    <row r="1408" spans="12:13">
      <c r="L1408" s="6">
        <f t="shared" si="49"/>
        <v>601877756</v>
      </c>
      <c r="M1408" s="20">
        <f t="shared" si="48"/>
        <v>0.14013558533042669</v>
      </c>
    </row>
    <row r="1409" spans="12:13">
      <c r="L1409" s="6">
        <f t="shared" si="49"/>
        <v>3143136105</v>
      </c>
      <c r="M1409" s="20">
        <f t="shared" si="48"/>
        <v>0.73181840241886675</v>
      </c>
    </row>
    <row r="1410" spans="12:13">
      <c r="L1410" s="6">
        <f t="shared" si="49"/>
        <v>1402296304</v>
      </c>
      <c r="M1410" s="20">
        <f t="shared" si="48"/>
        <v>0.32649755105376244</v>
      </c>
    </row>
    <row r="1411" spans="12:13">
      <c r="L1411" s="6">
        <f t="shared" si="49"/>
        <v>2067359180</v>
      </c>
      <c r="M1411" s="20">
        <f t="shared" si="48"/>
        <v>0.48134456854313612</v>
      </c>
    </row>
    <row r="1412" spans="12:13">
      <c r="L1412" s="6">
        <f t="shared" si="49"/>
        <v>1551803896</v>
      </c>
      <c r="M1412" s="20">
        <f t="shared" si="48"/>
        <v>0.36130749993026257</v>
      </c>
    </row>
    <row r="1413" spans="12:13">
      <c r="L1413" s="6">
        <f t="shared" si="49"/>
        <v>2570454068</v>
      </c>
      <c r="M1413" s="20">
        <f t="shared" ref="M1413:M1476" si="50">L1413/2^32</f>
        <v>0.59848047513514757</v>
      </c>
    </row>
    <row r="1414" spans="12:13">
      <c r="L1414" s="6">
        <f t="shared" si="49"/>
        <v>334117184</v>
      </c>
      <c r="M1414" s="20">
        <f t="shared" si="50"/>
        <v>7.7792719006538391E-2</v>
      </c>
    </row>
    <row r="1415" spans="12:13">
      <c r="L1415" s="6">
        <f t="shared" si="49"/>
        <v>159803101</v>
      </c>
      <c r="M1415" s="20">
        <f t="shared" si="50"/>
        <v>3.7207058863714337E-2</v>
      </c>
    </row>
    <row r="1416" spans="12:13">
      <c r="L1416" s="6">
        <f t="shared" si="49"/>
        <v>2409085142</v>
      </c>
      <c r="M1416" s="20">
        <f t="shared" si="50"/>
        <v>0.56090884422883391</v>
      </c>
    </row>
    <row r="1417" spans="12:13">
      <c r="L1417" s="6">
        <f t="shared" si="49"/>
        <v>1207234428</v>
      </c>
      <c r="M1417" s="20">
        <f t="shared" si="50"/>
        <v>0.28108116891235113</v>
      </c>
    </row>
    <row r="1418" spans="12:13">
      <c r="L1418" s="6">
        <f t="shared" si="49"/>
        <v>2829980648</v>
      </c>
      <c r="M1418" s="20">
        <f t="shared" si="50"/>
        <v>0.65890621580183506</v>
      </c>
    </row>
    <row r="1419" spans="12:13">
      <c r="L1419" s="6">
        <f t="shared" si="49"/>
        <v>2322155876</v>
      </c>
      <c r="M1419" s="20">
        <f t="shared" si="50"/>
        <v>0.54066904727369547</v>
      </c>
    </row>
    <row r="1420" spans="12:13">
      <c r="L1420" s="6">
        <f t="shared" si="49"/>
        <v>3862932656</v>
      </c>
      <c r="M1420" s="20">
        <f t="shared" si="50"/>
        <v>0.89940909668803215</v>
      </c>
    </row>
    <row r="1421" spans="12:13">
      <c r="L1421" s="6">
        <f t="shared" si="49"/>
        <v>1728803724</v>
      </c>
      <c r="M1421" s="20">
        <f t="shared" si="50"/>
        <v>0.40251848381012678</v>
      </c>
    </row>
    <row r="1422" spans="12:13">
      <c r="L1422" s="6">
        <f t="shared" si="49"/>
        <v>2887915704</v>
      </c>
      <c r="M1422" s="20">
        <f t="shared" si="50"/>
        <v>0.67239527218043804</v>
      </c>
    </row>
    <row r="1423" spans="12:13">
      <c r="L1423" s="6">
        <f t="shared" si="49"/>
        <v>568629236</v>
      </c>
      <c r="M1423" s="20">
        <f t="shared" si="50"/>
        <v>0.13239431101828814</v>
      </c>
    </row>
    <row r="1424" spans="12:13">
      <c r="L1424" s="6">
        <f t="shared" si="49"/>
        <v>3212737025</v>
      </c>
      <c r="M1424" s="20">
        <f t="shared" si="50"/>
        <v>0.74802362942136824</v>
      </c>
    </row>
    <row r="1425" spans="12:13">
      <c r="L1425" s="6">
        <f t="shared" si="49"/>
        <v>2979341736</v>
      </c>
      <c r="M1425" s="20">
        <f t="shared" si="50"/>
        <v>0.69368205405771732</v>
      </c>
    </row>
    <row r="1426" spans="12:13">
      <c r="L1426" s="6">
        <f t="shared" si="49"/>
        <v>737275940</v>
      </c>
      <c r="M1426" s="20">
        <f t="shared" si="50"/>
        <v>0.17166043166071177</v>
      </c>
    </row>
    <row r="1427" spans="12:13">
      <c r="L1427" s="6">
        <f t="shared" si="49"/>
        <v>1901454449</v>
      </c>
      <c r="M1427" s="20">
        <f t="shared" si="50"/>
        <v>0.44271686323918402</v>
      </c>
    </row>
    <row r="1428" spans="12:13">
      <c r="L1428" s="6">
        <f t="shared" si="49"/>
        <v>3579231576</v>
      </c>
      <c r="M1428" s="20">
        <f t="shared" si="50"/>
        <v>0.83335479162633419</v>
      </c>
    </row>
    <row r="1429" spans="12:13">
      <c r="L1429" s="6">
        <f t="shared" si="49"/>
        <v>492180500</v>
      </c>
      <c r="M1429" s="20">
        <f t="shared" si="50"/>
        <v>0.11459470260888338</v>
      </c>
    </row>
    <row r="1430" spans="12:13">
      <c r="L1430" s="6">
        <f t="shared" si="49"/>
        <v>1424254881</v>
      </c>
      <c r="M1430" s="20">
        <f t="shared" si="50"/>
        <v>0.33161018067039549</v>
      </c>
    </row>
    <row r="1431" spans="12:13">
      <c r="L1431" s="6">
        <f t="shared" si="49"/>
        <v>992237256</v>
      </c>
      <c r="M1431" s="20">
        <f t="shared" si="50"/>
        <v>0.23102323897182941</v>
      </c>
    </row>
    <row r="1432" spans="12:13">
      <c r="L1432" s="6">
        <f t="shared" si="49"/>
        <v>3302166213</v>
      </c>
      <c r="M1432" s="20">
        <f t="shared" si="50"/>
        <v>0.76884548482485116</v>
      </c>
    </row>
    <row r="1433" spans="12:13">
      <c r="L1433" s="6">
        <f t="shared" si="49"/>
        <v>2437629852</v>
      </c>
      <c r="M1433" s="20">
        <f t="shared" si="50"/>
        <v>0.56755492743104696</v>
      </c>
    </row>
    <row r="1434" spans="12:13">
      <c r="L1434" s="6">
        <f t="shared" si="49"/>
        <v>641674632</v>
      </c>
      <c r="M1434" s="20">
        <f t="shared" si="50"/>
        <v>0.14940151758491993</v>
      </c>
    </row>
    <row r="1435" spans="12:13">
      <c r="L1435" s="6">
        <f t="shared" si="49"/>
        <v>944092805</v>
      </c>
      <c r="M1435" s="20">
        <f t="shared" si="50"/>
        <v>0.21981373545713723</v>
      </c>
    </row>
    <row r="1436" spans="12:13">
      <c r="L1436" s="6">
        <f t="shared" si="49"/>
        <v>3069742174</v>
      </c>
      <c r="M1436" s="20">
        <f t="shared" si="50"/>
        <v>0.71473004622384906</v>
      </c>
    </row>
    <row r="1437" spans="12:13">
      <c r="L1437" s="6">
        <f t="shared" si="49"/>
        <v>2917586276</v>
      </c>
      <c r="M1437" s="20">
        <f t="shared" si="50"/>
        <v>0.67930349055677652</v>
      </c>
    </row>
    <row r="1438" spans="12:13">
      <c r="L1438" s="6">
        <f t="shared" si="49"/>
        <v>3952855216</v>
      </c>
      <c r="M1438" s="20">
        <f t="shared" si="50"/>
        <v>0.92034582421183586</v>
      </c>
    </row>
    <row r="1439" spans="12:13">
      <c r="L1439" s="6">
        <f t="shared" ref="L1439:L1502" si="51">MOD($I$13*L1438+$J$13,2^32)</f>
        <v>2961497996</v>
      </c>
      <c r="M1439" s="20">
        <f t="shared" si="50"/>
        <v>0.68952748458832502</v>
      </c>
    </row>
    <row r="1440" spans="12:13">
      <c r="L1440" s="6">
        <f t="shared" si="51"/>
        <v>3567817912</v>
      </c>
      <c r="M1440" s="20">
        <f t="shared" si="50"/>
        <v>0.83069734089076519</v>
      </c>
    </row>
    <row r="1441" spans="12:13">
      <c r="L1441" s="6">
        <f t="shared" si="51"/>
        <v>3395609588</v>
      </c>
      <c r="M1441" s="20">
        <f t="shared" si="50"/>
        <v>0.79060196597129107</v>
      </c>
    </row>
    <row r="1442" spans="12:13">
      <c r="L1442" s="6">
        <f t="shared" si="51"/>
        <v>3082704384</v>
      </c>
      <c r="M1442" s="20">
        <f t="shared" si="50"/>
        <v>0.71774804592132568</v>
      </c>
    </row>
    <row r="1443" spans="12:13">
      <c r="L1443" s="6">
        <f t="shared" si="51"/>
        <v>2531237020</v>
      </c>
      <c r="M1443" s="20">
        <f t="shared" si="50"/>
        <v>0.58934954460710287</v>
      </c>
    </row>
    <row r="1444" spans="12:13">
      <c r="L1444" s="6">
        <f t="shared" si="51"/>
        <v>2044755592</v>
      </c>
      <c r="M1444" s="20">
        <f t="shared" si="50"/>
        <v>0.47608176060020924</v>
      </c>
    </row>
    <row r="1445" spans="12:13">
      <c r="L1445" s="6">
        <f t="shared" si="51"/>
        <v>3032208260</v>
      </c>
      <c r="M1445" s="20">
        <f t="shared" si="50"/>
        <v>0.70599100086838007</v>
      </c>
    </row>
    <row r="1446" spans="12:13">
      <c r="L1446" s="6">
        <f t="shared" si="51"/>
        <v>3992539216</v>
      </c>
      <c r="M1446" s="20">
        <f t="shared" si="50"/>
        <v>0.92958547547459602</v>
      </c>
    </row>
    <row r="1447" spans="12:13">
      <c r="L1447" s="6">
        <f t="shared" si="51"/>
        <v>948495020</v>
      </c>
      <c r="M1447" s="20">
        <f t="shared" si="50"/>
        <v>0.22083870600908995</v>
      </c>
    </row>
    <row r="1448" spans="12:13">
      <c r="L1448" s="6">
        <f t="shared" si="51"/>
        <v>535977305</v>
      </c>
      <c r="M1448" s="20">
        <f t="shared" si="50"/>
        <v>0.1247919409070164</v>
      </c>
    </row>
    <row r="1449" spans="12:13">
      <c r="L1449" s="6">
        <f t="shared" si="51"/>
        <v>1339877666</v>
      </c>
      <c r="M1449" s="20">
        <f t="shared" si="50"/>
        <v>0.31196457939222455</v>
      </c>
    </row>
    <row r="1450" spans="12:13">
      <c r="L1450" s="6">
        <f t="shared" si="51"/>
        <v>3964804952</v>
      </c>
      <c r="M1450" s="20">
        <f t="shared" si="50"/>
        <v>0.92312808893620968</v>
      </c>
    </row>
    <row r="1451" spans="12:13">
      <c r="L1451" s="6">
        <f t="shared" si="51"/>
        <v>2724466196</v>
      </c>
      <c r="M1451" s="20">
        <f t="shared" si="50"/>
        <v>0.63433921802788973</v>
      </c>
    </row>
    <row r="1452" spans="12:13">
      <c r="L1452" s="6">
        <f t="shared" si="51"/>
        <v>4267448736</v>
      </c>
      <c r="M1452" s="20">
        <f t="shared" si="50"/>
        <v>0.99359283596277237</v>
      </c>
    </row>
    <row r="1453" spans="12:13">
      <c r="L1453" s="6">
        <f t="shared" si="51"/>
        <v>3297946556</v>
      </c>
      <c r="M1453" s="20">
        <f t="shared" si="50"/>
        <v>0.7678630193695426</v>
      </c>
    </row>
    <row r="1454" spans="12:13">
      <c r="L1454" s="6">
        <f t="shared" si="51"/>
        <v>3867796264</v>
      </c>
      <c r="M1454" s="20">
        <f t="shared" si="50"/>
        <v>0.90054149366915226</v>
      </c>
    </row>
    <row r="1455" spans="12:13">
      <c r="L1455" s="6">
        <f t="shared" si="51"/>
        <v>3906670500</v>
      </c>
      <c r="M1455" s="20">
        <f t="shared" si="50"/>
        <v>0.90959260705858469</v>
      </c>
    </row>
    <row r="1456" spans="12:13">
      <c r="L1456" s="6">
        <f t="shared" si="51"/>
        <v>2096233968</v>
      </c>
      <c r="M1456" s="20">
        <f t="shared" si="50"/>
        <v>0.48806750401854515</v>
      </c>
    </row>
    <row r="1457" spans="12:13">
      <c r="L1457" s="6">
        <f t="shared" si="51"/>
        <v>1884017612</v>
      </c>
      <c r="M1457" s="20">
        <f t="shared" si="50"/>
        <v>0.43865703325718641</v>
      </c>
    </row>
    <row r="1458" spans="12:13">
      <c r="L1458" s="6">
        <f t="shared" si="51"/>
        <v>1748253688</v>
      </c>
      <c r="M1458" s="20">
        <f t="shared" si="50"/>
        <v>0.40704703144729137</v>
      </c>
    </row>
    <row r="1459" spans="12:13">
      <c r="L1459" s="6">
        <f t="shared" si="51"/>
        <v>4269580852</v>
      </c>
      <c r="M1459" s="20">
        <f t="shared" si="50"/>
        <v>0.99408925790339708</v>
      </c>
    </row>
    <row r="1460" spans="12:13">
      <c r="L1460" s="6">
        <f t="shared" si="51"/>
        <v>2285256512</v>
      </c>
      <c r="M1460" s="20">
        <f t="shared" si="50"/>
        <v>0.53207774460315704</v>
      </c>
    </row>
    <row r="1461" spans="12:13">
      <c r="L1461" s="6">
        <f t="shared" si="51"/>
        <v>2879435996</v>
      </c>
      <c r="M1461" s="20">
        <f t="shared" si="50"/>
        <v>0.67042093630880117</v>
      </c>
    </row>
    <row r="1462" spans="12:13">
      <c r="L1462" s="6">
        <f t="shared" si="51"/>
        <v>362019272</v>
      </c>
      <c r="M1462" s="20">
        <f t="shared" si="50"/>
        <v>8.4289180114865303E-2</v>
      </c>
    </row>
    <row r="1463" spans="12:13">
      <c r="L1463" s="6">
        <f t="shared" si="51"/>
        <v>2814203333</v>
      </c>
      <c r="M1463" s="20">
        <f t="shared" si="50"/>
        <v>0.65523277339525521</v>
      </c>
    </row>
    <row r="1464" spans="12:13">
      <c r="L1464" s="6">
        <f t="shared" si="51"/>
        <v>4100186780</v>
      </c>
      <c r="M1464" s="20">
        <f t="shared" si="50"/>
        <v>0.95464912708848715</v>
      </c>
    </row>
    <row r="1465" spans="12:13">
      <c r="L1465" s="6">
        <f t="shared" si="51"/>
        <v>2031488136</v>
      </c>
      <c r="M1465" s="20">
        <f t="shared" si="50"/>
        <v>0.47299269028007984</v>
      </c>
    </row>
    <row r="1466" spans="12:13">
      <c r="L1466" s="6">
        <f t="shared" si="51"/>
        <v>4191816068</v>
      </c>
      <c r="M1466" s="20">
        <f t="shared" si="50"/>
        <v>0.97598323319107294</v>
      </c>
    </row>
    <row r="1467" spans="12:13">
      <c r="L1467" s="6">
        <f t="shared" si="51"/>
        <v>2528120400</v>
      </c>
      <c r="M1467" s="20">
        <f t="shared" si="50"/>
        <v>0.58862389996647835</v>
      </c>
    </row>
    <row r="1468" spans="12:13">
      <c r="L1468" s="6">
        <f t="shared" si="51"/>
        <v>1076267180</v>
      </c>
      <c r="M1468" s="20">
        <f t="shared" si="50"/>
        <v>0.25058798026293516</v>
      </c>
    </row>
    <row r="1469" spans="12:13">
      <c r="L1469" s="6">
        <f t="shared" si="51"/>
        <v>1397869400</v>
      </c>
      <c r="M1469" s="20">
        <f t="shared" si="50"/>
        <v>0.32546683214604855</v>
      </c>
    </row>
    <row r="1470" spans="12:13">
      <c r="L1470" s="6">
        <f t="shared" si="51"/>
        <v>4126919188</v>
      </c>
      <c r="M1470" s="20">
        <f t="shared" si="50"/>
        <v>0.960873250849545</v>
      </c>
    </row>
    <row r="1471" spans="12:13">
      <c r="L1471" s="6">
        <f t="shared" si="51"/>
        <v>3372000672</v>
      </c>
      <c r="M1471" s="20">
        <f t="shared" si="50"/>
        <v>0.78510508686304092</v>
      </c>
    </row>
    <row r="1472" spans="12:13">
      <c r="L1472" s="6">
        <f t="shared" si="51"/>
        <v>95799228</v>
      </c>
      <c r="M1472" s="20">
        <f t="shared" si="50"/>
        <v>2.230499591678381E-2</v>
      </c>
    </row>
    <row r="1473" spans="12:13">
      <c r="L1473" s="6">
        <f t="shared" si="51"/>
        <v>3961409321</v>
      </c>
      <c r="M1473" s="20">
        <f t="shared" si="50"/>
        <v>0.92233748198486865</v>
      </c>
    </row>
    <row r="1474" spans="12:13">
      <c r="L1474" s="6">
        <f t="shared" si="51"/>
        <v>3057664176</v>
      </c>
      <c r="M1474" s="20">
        <f t="shared" si="50"/>
        <v>0.71191791817545891</v>
      </c>
    </row>
    <row r="1475" spans="12:13">
      <c r="L1475" s="6">
        <f t="shared" si="51"/>
        <v>3417765772</v>
      </c>
      <c r="M1475" s="20">
        <f t="shared" si="50"/>
        <v>0.79576060455292463</v>
      </c>
    </row>
    <row r="1476" spans="12:13">
      <c r="L1476" s="6">
        <f t="shared" si="51"/>
        <v>2301349048</v>
      </c>
      <c r="M1476" s="20">
        <f t="shared" si="50"/>
        <v>0.53582458011806011</v>
      </c>
    </row>
    <row r="1477" spans="12:13">
      <c r="L1477" s="6">
        <f t="shared" si="51"/>
        <v>2208742388</v>
      </c>
      <c r="M1477" s="20">
        <f t="shared" ref="M1477:M1537" si="52">L1477/2^32</f>
        <v>0.51426291186362505</v>
      </c>
    </row>
    <row r="1478" spans="12:13">
      <c r="L1478" s="6">
        <f t="shared" si="51"/>
        <v>3587067392</v>
      </c>
      <c r="M1478" s="20">
        <f t="shared" si="52"/>
        <v>0.83517920970916748</v>
      </c>
    </row>
    <row r="1479" spans="12:13">
      <c r="L1479" s="6">
        <f t="shared" si="51"/>
        <v>1879520412</v>
      </c>
      <c r="M1479" s="20">
        <f t="shared" si="52"/>
        <v>0.43760994728654623</v>
      </c>
    </row>
    <row r="1480" spans="12:13">
      <c r="L1480" s="6">
        <f t="shared" si="51"/>
        <v>3881514632</v>
      </c>
      <c r="M1480" s="20">
        <f t="shared" si="52"/>
        <v>0.90373555012047291</v>
      </c>
    </row>
    <row r="1481" spans="12:13">
      <c r="L1481" s="6">
        <f t="shared" si="51"/>
        <v>1343171460</v>
      </c>
      <c r="M1481" s="20">
        <f t="shared" si="52"/>
        <v>0.3127314755693078</v>
      </c>
    </row>
    <row r="1482" spans="12:13">
      <c r="L1482" s="6">
        <f t="shared" si="51"/>
        <v>1718405200</v>
      </c>
      <c r="M1482" s="20">
        <f t="shared" si="52"/>
        <v>0.40009738877415657</v>
      </c>
    </row>
    <row r="1483" spans="12:13">
      <c r="L1483" s="6">
        <f t="shared" si="51"/>
        <v>2185099948</v>
      </c>
      <c r="M1483" s="20">
        <f t="shared" si="52"/>
        <v>0.50875822734087706</v>
      </c>
    </row>
    <row r="1484" spans="12:13">
      <c r="L1484" s="6">
        <f t="shared" si="51"/>
        <v>3491534168</v>
      </c>
      <c r="M1484" s="20">
        <f t="shared" si="52"/>
        <v>0.81293614767491817</v>
      </c>
    </row>
    <row r="1485" spans="12:13">
      <c r="L1485" s="6">
        <f t="shared" si="51"/>
        <v>3810135060</v>
      </c>
      <c r="M1485" s="20">
        <f t="shared" si="52"/>
        <v>0.88711619842797518</v>
      </c>
    </row>
    <row r="1486" spans="12:13">
      <c r="L1486" s="6">
        <f t="shared" si="51"/>
        <v>4130340768</v>
      </c>
      <c r="M1486" s="20">
        <f t="shared" si="52"/>
        <v>0.96166989952325821</v>
      </c>
    </row>
    <row r="1487" spans="12:13">
      <c r="L1487" s="6">
        <f t="shared" si="51"/>
        <v>1173576124</v>
      </c>
      <c r="M1487" s="20">
        <f t="shared" si="52"/>
        <v>0.27324448432773352</v>
      </c>
    </row>
    <row r="1488" spans="12:13">
      <c r="L1488" s="6">
        <f t="shared" si="51"/>
        <v>628668712</v>
      </c>
      <c r="M1488" s="20">
        <f t="shared" si="52"/>
        <v>0.14637334086000919</v>
      </c>
    </row>
    <row r="1489" spans="12:13">
      <c r="L1489" s="6">
        <f t="shared" si="51"/>
        <v>575270309</v>
      </c>
      <c r="M1489" s="20">
        <f t="shared" si="52"/>
        <v>0.13394055631943047</v>
      </c>
    </row>
    <row r="1490" spans="12:13">
      <c r="L1490" s="6">
        <f t="shared" si="51"/>
        <v>3976788222</v>
      </c>
      <c r="M1490" s="20">
        <f t="shared" si="52"/>
        <v>0.92591816140338778</v>
      </c>
    </row>
    <row r="1491" spans="12:13">
      <c r="L1491" s="6">
        <f t="shared" si="51"/>
        <v>3974723972</v>
      </c>
      <c r="M1491" s="20">
        <f t="shared" si="52"/>
        <v>0.92543754074722528</v>
      </c>
    </row>
    <row r="1492" spans="12:13">
      <c r="L1492" s="6">
        <f t="shared" si="51"/>
        <v>1755889232</v>
      </c>
      <c r="M1492" s="20">
        <f t="shared" si="52"/>
        <v>0.40882482007145882</v>
      </c>
    </row>
    <row r="1493" spans="12:13">
      <c r="L1493" s="6">
        <f t="shared" si="51"/>
        <v>238516396</v>
      </c>
      <c r="M1493" s="20">
        <f t="shared" si="52"/>
        <v>5.5533926002681255E-2</v>
      </c>
    </row>
    <row r="1494" spans="12:13">
      <c r="L1494" s="6">
        <f t="shared" si="51"/>
        <v>3554540377</v>
      </c>
      <c r="M1494" s="20">
        <f t="shared" si="52"/>
        <v>0.82760592387057841</v>
      </c>
    </row>
    <row r="1495" spans="12:13">
      <c r="L1495" s="6">
        <f t="shared" si="51"/>
        <v>1804201760</v>
      </c>
      <c r="M1495" s="20">
        <f t="shared" si="52"/>
        <v>0.42007345706224442</v>
      </c>
    </row>
    <row r="1496" spans="12:13">
      <c r="L1496" s="6">
        <f t="shared" si="51"/>
        <v>2723808060</v>
      </c>
      <c r="M1496" s="20">
        <f t="shared" si="52"/>
        <v>0.63418598379939795</v>
      </c>
    </row>
    <row r="1497" spans="12:13">
      <c r="L1497" s="6">
        <f t="shared" si="51"/>
        <v>2198262952</v>
      </c>
      <c r="M1497" s="20">
        <f t="shared" si="52"/>
        <v>0.51182297803461552</v>
      </c>
    </row>
    <row r="1498" spans="12:13">
      <c r="L1498" s="6">
        <f t="shared" si="51"/>
        <v>7525156</v>
      </c>
      <c r="M1498" s="20">
        <f t="shared" si="52"/>
        <v>1.752086915075779E-3</v>
      </c>
    </row>
    <row r="1499" spans="12:13">
      <c r="L1499" s="6">
        <f t="shared" si="51"/>
        <v>4183845745</v>
      </c>
      <c r="M1499" s="20">
        <f t="shared" si="52"/>
        <v>0.9741274977568537</v>
      </c>
    </row>
    <row r="1500" spans="12:13">
      <c r="L1500" s="6">
        <f t="shared" si="51"/>
        <v>676501592</v>
      </c>
      <c r="M1500" s="20">
        <f t="shared" si="52"/>
        <v>0.1575103010982275</v>
      </c>
    </row>
    <row r="1501" spans="12:13">
      <c r="L1501" s="6">
        <f t="shared" si="51"/>
        <v>183972629</v>
      </c>
      <c r="M1501" s="20">
        <f t="shared" si="52"/>
        <v>4.2834465624764562E-2</v>
      </c>
    </row>
    <row r="1502" spans="12:13">
      <c r="L1502" s="6">
        <f t="shared" si="51"/>
        <v>2994581422</v>
      </c>
      <c r="M1502" s="20">
        <f t="shared" si="52"/>
        <v>0.69723031995818019</v>
      </c>
    </row>
    <row r="1503" spans="12:13">
      <c r="L1503" s="6">
        <f t="shared" ref="L1503:L1537" si="53">MOD($I$13*L1502+$J$13,2^32)</f>
        <v>441528436</v>
      </c>
      <c r="M1503" s="20">
        <f t="shared" si="52"/>
        <v>0.10280134994536638</v>
      </c>
    </row>
    <row r="1504" spans="12:13">
      <c r="L1504" s="6">
        <f t="shared" si="53"/>
        <v>3428104321</v>
      </c>
      <c r="M1504" s="20">
        <f t="shared" si="52"/>
        <v>0.7981677355710417</v>
      </c>
    </row>
    <row r="1505" spans="12:13">
      <c r="L1505" s="6">
        <f t="shared" si="53"/>
        <v>3559313960</v>
      </c>
      <c r="M1505" s="20">
        <f t="shared" si="52"/>
        <v>0.82871736027300358</v>
      </c>
    </row>
    <row r="1506" spans="12:13">
      <c r="L1506" s="6">
        <f t="shared" si="53"/>
        <v>2144219812</v>
      </c>
      <c r="M1506" s="20">
        <f t="shared" si="52"/>
        <v>0.49924007896333933</v>
      </c>
    </row>
    <row r="1507" spans="12:13">
      <c r="L1507" s="6">
        <f t="shared" si="53"/>
        <v>1812579568</v>
      </c>
      <c r="M1507" s="20">
        <f t="shared" si="52"/>
        <v>0.42202406749129295</v>
      </c>
    </row>
    <row r="1508" spans="12:13">
      <c r="L1508" s="6">
        <f t="shared" si="53"/>
        <v>489942732</v>
      </c>
      <c r="M1508" s="20">
        <f t="shared" si="52"/>
        <v>0.11407368164509535</v>
      </c>
    </row>
    <row r="1509" spans="12:13">
      <c r="L1509" s="6">
        <f t="shared" si="53"/>
        <v>2954140409</v>
      </c>
      <c r="M1509" s="20">
        <f t="shared" si="52"/>
        <v>0.68781441287137568</v>
      </c>
    </row>
    <row r="1510" spans="12:13">
      <c r="L1510" s="6">
        <f t="shared" si="53"/>
        <v>1770793536</v>
      </c>
      <c r="M1510" s="20">
        <f t="shared" si="52"/>
        <v>0.41229499876499176</v>
      </c>
    </row>
    <row r="1511" spans="12:13">
      <c r="L1511" s="6">
        <f t="shared" si="53"/>
        <v>1898226652</v>
      </c>
      <c r="M1511" s="20">
        <f t="shared" si="52"/>
        <v>0.44196533318608999</v>
      </c>
    </row>
    <row r="1512" spans="12:13">
      <c r="L1512" s="6">
        <f t="shared" si="53"/>
        <v>4131527880</v>
      </c>
      <c r="M1512" s="20">
        <f t="shared" si="52"/>
        <v>0.96194629557430744</v>
      </c>
    </row>
    <row r="1513" spans="12:13">
      <c r="L1513" s="6">
        <f t="shared" si="53"/>
        <v>2354322628</v>
      </c>
      <c r="M1513" s="20">
        <f t="shared" si="52"/>
        <v>0.54815845284610987</v>
      </c>
    </row>
    <row r="1514" spans="12:13">
      <c r="L1514" s="6">
        <f t="shared" si="53"/>
        <v>3812575376</v>
      </c>
      <c r="M1514" s="20">
        <f t="shared" si="52"/>
        <v>0.88768437877297401</v>
      </c>
    </row>
    <row r="1515" spans="12:13">
      <c r="L1515" s="6">
        <f t="shared" si="53"/>
        <v>1297858028</v>
      </c>
      <c r="M1515" s="20">
        <f t="shared" si="52"/>
        <v>0.30218112003058195</v>
      </c>
    </row>
    <row r="1516" spans="12:13">
      <c r="L1516" s="6">
        <f t="shared" si="53"/>
        <v>141279128</v>
      </c>
      <c r="M1516" s="20">
        <f t="shared" si="52"/>
        <v>3.2894110307097435E-2</v>
      </c>
    </row>
    <row r="1517" spans="12:13">
      <c r="L1517" s="6">
        <f t="shared" si="53"/>
        <v>2914939221</v>
      </c>
      <c r="M1517" s="20">
        <f t="shared" si="52"/>
        <v>0.67868717503733933</v>
      </c>
    </row>
    <row r="1518" spans="12:13">
      <c r="L1518" s="6">
        <f t="shared" si="53"/>
        <v>3076462828</v>
      </c>
      <c r="M1518" s="20">
        <f t="shared" si="52"/>
        <v>0.71629482042044401</v>
      </c>
    </row>
    <row r="1519" spans="12:13">
      <c r="L1519" s="6">
        <f t="shared" si="53"/>
        <v>4008599192</v>
      </c>
      <c r="M1519" s="20">
        <f t="shared" si="52"/>
        <v>0.93332473002374172</v>
      </c>
    </row>
    <row r="1520" spans="12:13">
      <c r="L1520" s="6">
        <f t="shared" si="53"/>
        <v>2647360596</v>
      </c>
      <c r="M1520" s="20">
        <f t="shared" si="52"/>
        <v>0.61638667155057192</v>
      </c>
    </row>
    <row r="1521" spans="12:13">
      <c r="L1521" s="6">
        <f t="shared" si="53"/>
        <v>2465749728</v>
      </c>
      <c r="M1521" s="20">
        <f t="shared" si="52"/>
        <v>0.57410209625959396</v>
      </c>
    </row>
    <row r="1522" spans="12:13">
      <c r="L1522" s="6">
        <f t="shared" si="53"/>
        <v>694434812</v>
      </c>
      <c r="M1522" s="20">
        <f t="shared" si="52"/>
        <v>0.16168570425361395</v>
      </c>
    </row>
    <row r="1523" spans="12:13">
      <c r="L1523" s="6">
        <f t="shared" si="53"/>
        <v>3219879529</v>
      </c>
      <c r="M1523" s="20">
        <f t="shared" si="52"/>
        <v>0.74968662322498858</v>
      </c>
    </row>
    <row r="1524" spans="12:13">
      <c r="L1524" s="6">
        <f t="shared" si="53"/>
        <v>4247486192</v>
      </c>
      <c r="M1524" s="20">
        <f t="shared" si="52"/>
        <v>0.98894494399428368</v>
      </c>
    </row>
    <row r="1525" spans="12:13">
      <c r="L1525" s="6">
        <f t="shared" si="53"/>
        <v>2590793932</v>
      </c>
      <c r="M1525" s="20">
        <f t="shared" si="52"/>
        <v>0.60321621876209974</v>
      </c>
    </row>
    <row r="1526" spans="12:13">
      <c r="L1526" s="6">
        <f t="shared" si="53"/>
        <v>2190238968</v>
      </c>
      <c r="M1526" s="20">
        <f t="shared" si="52"/>
        <v>0.50995474867522717</v>
      </c>
    </row>
    <row r="1527" spans="12:13">
      <c r="L1527" s="6">
        <f t="shared" si="53"/>
        <v>15972148</v>
      </c>
      <c r="M1527" s="20">
        <f t="shared" si="52"/>
        <v>3.7188054993748665E-3</v>
      </c>
    </row>
    <row r="1528" spans="12:13">
      <c r="L1528" s="6">
        <f t="shared" si="53"/>
        <v>1159417921</v>
      </c>
      <c r="M1528" s="20">
        <f t="shared" si="52"/>
        <v>0.26994802081026137</v>
      </c>
    </row>
    <row r="1529" spans="12:13">
      <c r="L1529" s="6">
        <f t="shared" si="53"/>
        <v>2814854888</v>
      </c>
      <c r="M1529" s="20">
        <f t="shared" si="52"/>
        <v>0.65538447536528111</v>
      </c>
    </row>
    <row r="1530" spans="12:13">
      <c r="L1530" s="6">
        <f t="shared" si="53"/>
        <v>2629820516</v>
      </c>
      <c r="M1530" s="20">
        <f t="shared" si="52"/>
        <v>0.61230280343443155</v>
      </c>
    </row>
    <row r="1531" spans="12:13">
      <c r="L1531" s="6">
        <f t="shared" si="53"/>
        <v>4134033328</v>
      </c>
      <c r="M1531" s="20">
        <f t="shared" si="52"/>
        <v>0.96252964064478874</v>
      </c>
    </row>
    <row r="1532" spans="12:13">
      <c r="L1532" s="6">
        <f t="shared" si="53"/>
        <v>3473089164</v>
      </c>
      <c r="M1532" s="20">
        <f t="shared" si="52"/>
        <v>0.80864158552139997</v>
      </c>
    </row>
    <row r="1533" spans="12:13">
      <c r="L1533" s="6">
        <f t="shared" si="53"/>
        <v>3815832504</v>
      </c>
      <c r="M1533" s="20">
        <f t="shared" si="52"/>
        <v>0.88844273798167706</v>
      </c>
    </row>
    <row r="1534" spans="12:13">
      <c r="L1534" s="6">
        <f t="shared" si="53"/>
        <v>1415913204</v>
      </c>
      <c r="M1534" s="20">
        <f t="shared" si="52"/>
        <v>0.32966798264533281</v>
      </c>
    </row>
    <row r="1535" spans="12:13">
      <c r="L1535" s="6">
        <f t="shared" si="53"/>
        <v>678974720</v>
      </c>
      <c r="M1535" s="20">
        <f t="shared" si="52"/>
        <v>0.15808612108230591</v>
      </c>
    </row>
    <row r="1536" spans="12:13">
      <c r="L1536" s="6">
        <f t="shared" si="53"/>
        <v>1385992093</v>
      </c>
      <c r="M1536" s="20">
        <f t="shared" si="52"/>
        <v>0.32270143111236393</v>
      </c>
    </row>
    <row r="1537" spans="12:13">
      <c r="L1537" s="6">
        <f t="shared" si="53"/>
        <v>667388564</v>
      </c>
      <c r="M1537" s="20">
        <f t="shared" si="52"/>
        <v>0.15538850892335176</v>
      </c>
    </row>
  </sheetData>
  <hyperlinks>
    <hyperlink ref="E3" r:id="rId1" xr:uid="{00000000-0004-0000-0000-000000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23"/>
  <sheetViews>
    <sheetView workbookViewId="0">
      <selection activeCell="B17" sqref="B17"/>
    </sheetView>
  </sheetViews>
  <sheetFormatPr defaultRowHeight="14.5"/>
  <cols>
    <col min="1" max="1" width="9.7265625" bestFit="1" customWidth="1"/>
    <col min="4" max="4" width="12.54296875" customWidth="1"/>
  </cols>
  <sheetData>
    <row r="1" spans="1:8" ht="15.5">
      <c r="A1" s="37" t="s">
        <v>63</v>
      </c>
      <c r="B1" s="35" t="str">
        <f>Summary!E2</f>
        <v>Brad Meyer</v>
      </c>
      <c r="C1" s="36"/>
      <c r="D1" s="36"/>
      <c r="E1" s="37" t="s">
        <v>64</v>
      </c>
      <c r="F1" s="38">
        <f>8+SUM(H6:H39)</f>
        <v>8</v>
      </c>
      <c r="G1" s="38" t="s">
        <v>75</v>
      </c>
    </row>
    <row r="2" spans="1:8" ht="15.5">
      <c r="A2" s="37" t="s">
        <v>65</v>
      </c>
      <c r="B2" s="35" t="str">
        <f>Summary!E3</f>
        <v>bradley.meyer@drake.edu</v>
      </c>
      <c r="C2" s="36"/>
      <c r="D2" s="36"/>
      <c r="E2" s="36"/>
      <c r="F2" s="39"/>
      <c r="G2" s="39"/>
    </row>
    <row r="3" spans="1:8">
      <c r="A3" s="32"/>
      <c r="B3" s="32"/>
      <c r="C3" s="32"/>
    </row>
    <row r="4" spans="1:8">
      <c r="A4" s="32"/>
      <c r="B4" s="32"/>
      <c r="C4" s="32"/>
      <c r="H4" t="s">
        <v>66</v>
      </c>
    </row>
    <row r="5" spans="1:8">
      <c r="A5" s="32" t="s">
        <v>61</v>
      </c>
      <c r="B5" s="32"/>
      <c r="C5" s="32"/>
      <c r="H5" t="s">
        <v>67</v>
      </c>
    </row>
    <row r="6" spans="1:8">
      <c r="A6" s="32" t="str">
        <f>Summary!P87</f>
        <v>Cause a</v>
      </c>
      <c r="B6" s="32" t="str">
        <f>Summary!Q87</f>
        <v>Cause b</v>
      </c>
      <c r="C6" s="32"/>
      <c r="H6" s="40"/>
    </row>
    <row r="7" spans="1:8">
      <c r="A7" s="32" t="str">
        <f>Summary!P88</f>
        <v>material</v>
      </c>
      <c r="B7" s="32" t="str">
        <f>Summary!Q88</f>
        <v>product</v>
      </c>
      <c r="C7" s="32"/>
      <c r="H7" s="40"/>
    </row>
    <row r="8" spans="1:8">
      <c r="A8" s="32" t="str">
        <f>Summary!P89</f>
        <v>86</v>
      </c>
      <c r="B8" s="32" t="str">
        <f>Summary!Q89</f>
        <v>B1700</v>
      </c>
      <c r="C8" s="32"/>
      <c r="H8" s="40"/>
    </row>
    <row r="9" spans="1:8">
      <c r="A9" s="32"/>
      <c r="B9" s="32"/>
      <c r="H9" s="40"/>
    </row>
    <row r="10" spans="1:8">
      <c r="A10" s="32" t="s">
        <v>99</v>
      </c>
      <c r="B10" s="32"/>
      <c r="C10" s="32"/>
      <c r="D10" s="33">
        <f>VLOOKUP(D11,'Run Data'!$H$2:$J$509,2)</f>
        <v>43687</v>
      </c>
      <c r="E10" s="41" t="s">
        <v>62</v>
      </c>
      <c r="F10" s="34">
        <f>VLOOKUP(D11,'Run Data'!$H$2:$J$509,3)</f>
        <v>0.46527777777777773</v>
      </c>
      <c r="H10" s="40"/>
    </row>
    <row r="11" spans="1:8">
      <c r="C11" s="41" t="s">
        <v>69</v>
      </c>
      <c r="D11" s="32">
        <f>Summary!V3</f>
        <v>47073.792554438114</v>
      </c>
      <c r="E11" s="32" t="s">
        <v>68</v>
      </c>
      <c r="H11" s="40"/>
    </row>
    <row r="12" spans="1:8">
      <c r="A12" s="32"/>
      <c r="B12" s="32" t="s">
        <v>101</v>
      </c>
      <c r="C12" s="32"/>
      <c r="D12" s="32"/>
      <c r="E12" s="32"/>
      <c r="F12" s="32"/>
      <c r="G12" s="32"/>
      <c r="H12" s="40"/>
    </row>
    <row r="13" spans="1:8">
      <c r="A13" s="32"/>
      <c r="B13" s="32" t="s">
        <v>100</v>
      </c>
      <c r="C13" s="32"/>
      <c r="D13" s="32"/>
      <c r="E13" s="32"/>
      <c r="F13" s="32"/>
      <c r="G13" s="32"/>
      <c r="H13" s="40"/>
    </row>
    <row r="14" spans="1:8">
      <c r="A14" s="32"/>
      <c r="B14" s="32"/>
      <c r="C14" s="32"/>
      <c r="D14" s="32"/>
      <c r="E14" s="32"/>
      <c r="F14" s="32"/>
      <c r="G14" s="32"/>
      <c r="H14" s="40"/>
    </row>
    <row r="15" spans="1:8">
      <c r="A15" s="32"/>
      <c r="B15" s="32"/>
      <c r="C15" s="32"/>
      <c r="D15" s="32"/>
      <c r="E15" s="32"/>
      <c r="F15" s="32"/>
      <c r="G15" s="32"/>
      <c r="H15" s="40"/>
    </row>
    <row r="16" spans="1:8">
      <c r="A16" s="32"/>
      <c r="B16" s="32"/>
      <c r="C16" s="32"/>
      <c r="D16" s="32"/>
      <c r="E16" s="32"/>
      <c r="F16" s="32"/>
      <c r="G16" s="32"/>
      <c r="H16" s="40"/>
    </row>
    <row r="17" spans="1:8">
      <c r="A17" s="32"/>
      <c r="B17" s="32"/>
      <c r="C17" s="32"/>
      <c r="D17" s="32"/>
      <c r="E17" s="32"/>
      <c r="F17" s="32"/>
      <c r="G17" s="32"/>
      <c r="H17" s="40"/>
    </row>
    <row r="18" spans="1:8">
      <c r="A18" s="32"/>
      <c r="B18" s="32"/>
      <c r="C18" s="32"/>
      <c r="D18" s="32"/>
      <c r="E18" s="32"/>
      <c r="F18" s="32"/>
      <c r="G18" s="32"/>
      <c r="H18" s="40"/>
    </row>
    <row r="19" spans="1:8">
      <c r="A19" s="32"/>
      <c r="B19" s="32"/>
      <c r="C19" s="32"/>
      <c r="D19" s="32"/>
      <c r="E19" s="32"/>
      <c r="F19" s="32"/>
      <c r="G19" s="32"/>
      <c r="H19" s="40"/>
    </row>
    <row r="20" spans="1:8">
      <c r="A20" s="32"/>
      <c r="B20" s="32"/>
      <c r="C20" s="32"/>
      <c r="D20" s="32"/>
      <c r="E20" s="32"/>
      <c r="F20" s="32"/>
      <c r="G20" s="32"/>
      <c r="H20" s="40"/>
    </row>
    <row r="21" spans="1:8">
      <c r="A21" s="32"/>
      <c r="B21" s="32"/>
      <c r="C21" s="32"/>
      <c r="D21" s="32"/>
      <c r="E21" s="32"/>
      <c r="F21" s="32"/>
      <c r="G21" s="32"/>
      <c r="H21" s="40"/>
    </row>
    <row r="22" spans="1:8">
      <c r="A22" s="32"/>
      <c r="B22" s="32"/>
      <c r="C22" s="32"/>
      <c r="D22" s="32"/>
      <c r="E22" s="32"/>
      <c r="F22" s="32"/>
      <c r="G22" s="32"/>
    </row>
    <row r="23" spans="1:8">
      <c r="A23" s="32"/>
      <c r="B23" s="32"/>
      <c r="C23" s="32"/>
      <c r="D23" s="32"/>
      <c r="E23" s="32"/>
      <c r="F23" s="32"/>
      <c r="G23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"/>
  <sheetViews>
    <sheetView workbookViewId="0">
      <selection activeCell="E12" sqref="E12"/>
    </sheetView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C8:G18"/>
  <sheetViews>
    <sheetView workbookViewId="0">
      <selection activeCell="B6" sqref="B6:G11"/>
    </sheetView>
  </sheetViews>
  <sheetFormatPr defaultRowHeight="14.5"/>
  <sheetData>
    <row r="8" spans="3:5">
      <c r="C8" s="32"/>
      <c r="D8" s="32"/>
      <c r="E8" s="32"/>
    </row>
    <row r="9" spans="3:5">
      <c r="C9" s="32"/>
      <c r="D9" s="32"/>
      <c r="E9" s="32"/>
    </row>
    <row r="10" spans="3:5">
      <c r="C10" s="32"/>
      <c r="D10" s="32"/>
      <c r="E10" s="32"/>
    </row>
    <row r="11" spans="3:5">
      <c r="C11" s="32"/>
      <c r="D11" s="32"/>
      <c r="E11" s="32"/>
    </row>
    <row r="12" spans="3:5">
      <c r="C12" s="32"/>
      <c r="D12" s="32"/>
      <c r="E12" s="32"/>
    </row>
    <row r="13" spans="3:5">
      <c r="C13" s="32" t="s">
        <v>70</v>
      </c>
      <c r="D13" s="32"/>
      <c r="E13" s="32"/>
    </row>
    <row r="14" spans="3:5">
      <c r="C14" s="32" t="s">
        <v>71</v>
      </c>
      <c r="D14" s="32"/>
      <c r="E14" s="32"/>
    </row>
    <row r="15" spans="3:5">
      <c r="C15" s="32"/>
      <c r="D15" s="32"/>
      <c r="E15" s="32"/>
    </row>
    <row r="17" spans="3:7">
      <c r="C17" s="32" t="s">
        <v>72</v>
      </c>
      <c r="D17" s="32"/>
      <c r="E17" s="32"/>
      <c r="F17" s="32"/>
      <c r="G17" s="40">
        <v>-1</v>
      </c>
    </row>
    <row r="18" spans="3:7">
      <c r="C18" s="32" t="s">
        <v>73</v>
      </c>
      <c r="D18" s="32"/>
      <c r="E18" s="32"/>
      <c r="F18" s="32"/>
      <c r="G18" s="4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J1500"/>
  <sheetViews>
    <sheetView workbookViewId="0">
      <selection activeCell="C3" sqref="C3:C1500"/>
    </sheetView>
  </sheetViews>
  <sheetFormatPr defaultRowHeight="14.5"/>
  <cols>
    <col min="1" max="1" width="12.453125" customWidth="1"/>
    <col min="2" max="2" width="10.453125" customWidth="1"/>
    <col min="3" max="3" width="9.453125" customWidth="1"/>
    <col min="4" max="4" width="11.81640625" customWidth="1"/>
    <col min="6" max="6" width="16.7265625" bestFit="1" customWidth="1"/>
    <col min="8" max="8" width="16.26953125" bestFit="1" customWidth="1"/>
    <col min="9" max="9" width="16.26953125" customWidth="1"/>
    <col min="10" max="10" width="15.453125" bestFit="1" customWidth="1"/>
  </cols>
  <sheetData>
    <row r="1" spans="1:10">
      <c r="A1" s="1" t="s">
        <v>4</v>
      </c>
      <c r="B1" s="1" t="s">
        <v>3</v>
      </c>
      <c r="C1" s="1" t="s">
        <v>0</v>
      </c>
      <c r="D1" s="1" t="s">
        <v>1</v>
      </c>
      <c r="E1" s="1" t="s">
        <v>2</v>
      </c>
      <c r="F1" s="1" t="s">
        <v>48</v>
      </c>
      <c r="G1" s="1" t="s">
        <v>6</v>
      </c>
      <c r="H1" s="1" t="s">
        <v>43</v>
      </c>
      <c r="I1" s="1" t="s">
        <v>49</v>
      </c>
      <c r="J1" s="1" t="s">
        <v>50</v>
      </c>
    </row>
    <row r="2" spans="1:10">
      <c r="A2" t="str">
        <f>VLOOKUP(Summary!M1,Summary!$P$13:$Q$24,2)</f>
        <v>B600-lime</v>
      </c>
      <c r="B2">
        <f>ROUND(NORMINV(Summary!M3,VLOOKUP(A2,Summary!$Q$13:$S$24,3,FALSE),VLOOKUP(A2,Summary!$Q$13:$S$24,3,FALSE)/6),-1)</f>
        <v>300</v>
      </c>
      <c r="C2" t="str">
        <f>Summary!P2</f>
        <v>Neesha</v>
      </c>
      <c r="D2" t="str">
        <f>IF(C2=Summary!$P$26,VLOOKUP(Summary!M9,Summary!$Q$26:$R$27,2),IF('Run Data'!C2=Summary!$P$28,VLOOKUP(Summary!M9,Summary!$Q$28:$R$29,2),VLOOKUP(Summary!M9,Summary!$Q$30:$R$32,2)))</f>
        <v>Sprig 1</v>
      </c>
      <c r="E2" t="str">
        <f>VLOOKUP(Summary!M12,Summary!$P$42:$Q$43,2)</f>
        <v>86</v>
      </c>
      <c r="F2">
        <f>IF(LEFT(A2,3)="B60",20,IF(LEFT(A2,3)="B12",30,25))+B2*0.5+INT(Summary!M15*20)</f>
        <v>188</v>
      </c>
      <c r="G2">
        <f>ROUND(IF(OR(ISERROR(FIND(Summary!$P$89,CONCATENATE(C2,D2,E2))),ISERROR(FIND(Summary!$Q$89,A2))),Summary!$R$45,IF(H2&gt;Summary!$V$3,Summary!$R$46,Summary!$R$45))*(B2+30),0)</f>
        <v>3</v>
      </c>
      <c r="H2">
        <v>0</v>
      </c>
      <c r="I2" s="26">
        <f>DATE(YEAR(Summary!$V$2),MONTH(Summary!$V$2),DAY(Summary!$V$2)+INT(H2/480))</f>
        <v>43590</v>
      </c>
      <c r="J2" s="27">
        <f>TIME(INT(MOD(H2,480)/60)+8,MOD(MOD(H2,480),60),0)</f>
        <v>0.33333333333333331</v>
      </c>
    </row>
    <row r="3" spans="1:10">
      <c r="A3" t="str">
        <f>VLOOKUP(Summary!M2,Summary!$P$13:$Q$24,2)</f>
        <v>B1200-sky</v>
      </c>
      <c r="B3">
        <f>ROUND(NORMINV(Summary!M4,VLOOKUP(A3,Summary!$Q$13:$S$24,3,FALSE),VLOOKUP(A3,Summary!$Q$13:$S$24,3,FALSE)/6),-1)</f>
        <v>1290</v>
      </c>
      <c r="C3" t="str">
        <f>IF(AND(H3=0,C2=Summary!$P$2),Summary!$Q$2,IF(AND(H3=0,C2=Summary!$Q$2),Summary!$R$2,C2))</f>
        <v>Neesha</v>
      </c>
      <c r="D3" t="str">
        <f>IF(C3=Summary!$P$26,VLOOKUP(Summary!M10,Summary!$Q$26:$R$27,2),IF('Run Data'!C3=Summary!$P$28,VLOOKUP(Summary!M10,Summary!$Q$28:$R$29,2),VLOOKUP(Summary!M10,Summary!$Q$30:$R$32,2)))</f>
        <v>Sprig 1</v>
      </c>
      <c r="E3" t="str">
        <f>VLOOKUP(Summary!M13,Summary!$P$42:$Q$43,2)</f>
        <v>86</v>
      </c>
      <c r="F3">
        <f>IF(LEFT(A3,3)="B60",20,IF(LEFT(A3,3)="B12",30,25))+B3*0.5+INT(Summary!M16*20)</f>
        <v>690</v>
      </c>
      <c r="G3">
        <f>ROUND(IF(OR(ISERROR(FIND(Summary!$P$89,CONCATENATE(C3,D3,E3))),ISERROR(FIND(Summary!$Q$89,A3))),Summary!$R$45,IF(H3&gt;Summary!$V$3,Summary!$R$46,Summary!$R$45))*(B3+30),0)</f>
        <v>13</v>
      </c>
      <c r="H3">
        <f>IF(H2&gt;Summary!$V$4,0,H2+F2)</f>
        <v>188</v>
      </c>
      <c r="I3" s="26">
        <f>DATE(YEAR(Summary!$V$2),MONTH(Summary!$V$2),DAY(Summary!$V$2)+INT(H3/480))</f>
        <v>43590</v>
      </c>
      <c r="J3" s="27">
        <f>TIME(INT(MOD(H3,480)/60)+8,MOD(MOD(H3,480),60),0)</f>
        <v>0.46388888888888885</v>
      </c>
    </row>
    <row r="4" spans="1:10">
      <c r="A4" t="str">
        <f>VLOOKUP(Summary!M3,Summary!$P$13:$Q$24,2)</f>
        <v>B1200-fire</v>
      </c>
      <c r="B4">
        <f>ROUND(NORMINV(Summary!M5,VLOOKUP(A4,Summary!$Q$13:$S$24,3,FALSE),VLOOKUP(A4,Summary!$Q$13:$S$24,3,FALSE)/6),-1)</f>
        <v>1210</v>
      </c>
      <c r="C4" t="str">
        <f>IF(AND(H4=0,C3=Summary!$P$2),Summary!$Q$2,IF(AND(H4=0,C3=Summary!$Q$2),Summary!$R$2,C3))</f>
        <v>Neesha</v>
      </c>
      <c r="D4" t="str">
        <f>IF(C4=Summary!$P$26,VLOOKUP(Summary!M11,Summary!$Q$26:$R$27,2),IF('Run Data'!C4=Summary!$P$28,VLOOKUP(Summary!M11,Summary!$Q$28:$R$29,2),VLOOKUP(Summary!M11,Summary!$Q$30:$R$32,2)))</f>
        <v>Sprig 1</v>
      </c>
      <c r="E4" t="str">
        <f>VLOOKUP(Summary!M14,Summary!$P$42:$Q$43,2)</f>
        <v>86</v>
      </c>
      <c r="F4">
        <f>IF(LEFT(A4,3)="B60",20,IF(LEFT(A4,3)="B12",30,25))+B4*0.5+INT(Summary!M17*20)</f>
        <v>647</v>
      </c>
      <c r="G4">
        <f>ROUND(IF(OR(ISERROR(FIND(Summary!$P$89,CONCATENATE(C4,D4,E4))),ISERROR(FIND(Summary!$Q$89,A4))),Summary!$R$45,IF(H4&gt;Summary!$V$3,Summary!$R$46,Summary!$R$45))*(B4+30),0)</f>
        <v>12</v>
      </c>
      <c r="H4">
        <f>IF(H3&gt;Summary!$V$4,0,H3+F3)</f>
        <v>878</v>
      </c>
      <c r="I4" s="26">
        <f>DATE(YEAR(Summary!$V$2),MONTH(Summary!$V$2),DAY(Summary!$V$2)+INT(H4/480))</f>
        <v>43591</v>
      </c>
      <c r="J4" s="27">
        <f t="shared" ref="J4:J16" si="0">TIME(INT(MOD(H4,480)/60)+8,MOD(MOD(H4,480),60),0)</f>
        <v>0.60972222222222217</v>
      </c>
    </row>
    <row r="5" spans="1:10">
      <c r="A5" t="str">
        <f>VLOOKUP(Summary!M4,Summary!$P$13:$Q$24,2)</f>
        <v>B1200-lime</v>
      </c>
      <c r="B5">
        <f>ROUND(NORMINV(Summary!M6,VLOOKUP(A5,Summary!$Q$13:$S$24,3,FALSE),VLOOKUP(A5,Summary!$Q$13:$S$24,3,FALSE)/6),-1)</f>
        <v>1050</v>
      </c>
      <c r="C5" t="str">
        <f>IF(AND(H5=0,C4=Summary!$P$2),Summary!$Q$2,IF(AND(H5=0,C4=Summary!$Q$2),Summary!$R$2,C4))</f>
        <v>Neesha</v>
      </c>
      <c r="D5" t="str">
        <f>IF(C5=Summary!$P$26,VLOOKUP(Summary!M12,Summary!$Q$26:$R$27,2),IF('Run Data'!C5=Summary!$P$28,VLOOKUP(Summary!M12,Summary!$Q$28:$R$29,2),VLOOKUP(Summary!M12,Summary!$Q$30:$R$32,2)))</f>
        <v>Sprig 1</v>
      </c>
      <c r="E5" t="str">
        <f>VLOOKUP(Summary!M15,Summary!$P$42:$Q$43,2)</f>
        <v>87b</v>
      </c>
      <c r="F5">
        <f>IF(LEFT(A5,3)="B60",20,IF(LEFT(A5,3)="B12",30,25))+B5*0.5+INT(Summary!M18*20)</f>
        <v>571</v>
      </c>
      <c r="G5">
        <f>ROUND(IF(OR(ISERROR(FIND(Summary!$P$89,CONCATENATE(C5,D5,E5))),ISERROR(FIND(Summary!$Q$89,A5))),Summary!$R$45,IF(H5&gt;Summary!$V$3,Summary!$R$46,Summary!$R$45))*(B5+30),0)</f>
        <v>11</v>
      </c>
      <c r="H5">
        <f>IF(H4&gt;Summary!$V$4,0,H4+F4)</f>
        <v>1525</v>
      </c>
      <c r="I5" s="26">
        <f>DATE(YEAR(Summary!$V$2),MONTH(Summary!$V$2),DAY(Summary!$V$2)+INT(H5/480))</f>
        <v>43593</v>
      </c>
      <c r="J5" s="27">
        <f t="shared" si="0"/>
        <v>0.3923611111111111</v>
      </c>
    </row>
    <row r="6" spans="1:10">
      <c r="A6" t="str">
        <f>VLOOKUP(Summary!M5,Summary!$P$13:$Q$24,2)</f>
        <v>B1200-fire</v>
      </c>
      <c r="B6">
        <f>ROUND(NORMINV(Summary!M7,VLOOKUP(A6,Summary!$Q$13:$S$24,3,FALSE),VLOOKUP(A6,Summary!$Q$13:$S$24,3,FALSE)/6),-1)</f>
        <v>1460</v>
      </c>
      <c r="C6" t="str">
        <f>IF(AND(H6=0,C5=Summary!$P$2),Summary!$Q$2,IF(AND(H6=0,C5=Summary!$Q$2),Summary!$R$2,C5))</f>
        <v>Neesha</v>
      </c>
      <c r="D6" t="str">
        <f>IF(C6=Summary!$P$26,VLOOKUP(Summary!M13,Summary!$Q$26:$R$27,2),IF('Run Data'!C6=Summary!$P$28,VLOOKUP(Summary!M13,Summary!$Q$28:$R$29,2),VLOOKUP(Summary!M13,Summary!$Q$30:$R$32,2)))</f>
        <v>Sprig 1</v>
      </c>
      <c r="E6" t="str">
        <f>VLOOKUP(Summary!M16,Summary!$P$42:$Q$43,2)</f>
        <v>86</v>
      </c>
      <c r="F6">
        <f>IF(LEFT(A6,3)="B60",20,IF(LEFT(A6,3)="B12",30,25))+B6*0.5+INT(Summary!M19*20)</f>
        <v>773</v>
      </c>
      <c r="G6">
        <f>ROUND(IF(OR(ISERROR(FIND(Summary!$P$89,CONCATENATE(C6,D6,E6))),ISERROR(FIND(Summary!$Q$89,A6))),Summary!$R$45,IF(H6&gt;Summary!$V$3,Summary!$R$46,Summary!$R$45))*(B6+30),0)</f>
        <v>15</v>
      </c>
      <c r="H6">
        <f>IF(H5&gt;Summary!$V$4,0,H5+F5)</f>
        <v>2096</v>
      </c>
      <c r="I6" s="26">
        <f>DATE(YEAR(Summary!$V$2),MONTH(Summary!$V$2),DAY(Summary!$V$2)+INT(H6/480))</f>
        <v>43594</v>
      </c>
      <c r="J6" s="27">
        <f t="shared" si="0"/>
        <v>0.45555555555555555</v>
      </c>
    </row>
    <row r="7" spans="1:10">
      <c r="A7" t="str">
        <f>VLOOKUP(Summary!M6,Summary!$P$13:$Q$24,2)</f>
        <v>B1700-lime</v>
      </c>
      <c r="B7">
        <f>ROUND(NORMINV(Summary!M8,VLOOKUP(A7,Summary!$Q$13:$S$24,3,FALSE),VLOOKUP(A7,Summary!$Q$13:$S$24,3,FALSE)/6),-1)</f>
        <v>430</v>
      </c>
      <c r="C7" t="str">
        <f>IF(AND(H7=0,C6=Summary!$P$2),Summary!$Q$2,IF(AND(H7=0,C6=Summary!$Q$2),Summary!$R$2,C6))</f>
        <v>Neesha</v>
      </c>
      <c r="D7" t="str">
        <f>IF(C7=Summary!$P$26,VLOOKUP(Summary!M14,Summary!$Q$26:$R$27,2),IF('Run Data'!C7=Summary!$P$28,VLOOKUP(Summary!M14,Summary!$Q$28:$R$29,2),VLOOKUP(Summary!M14,Summary!$Q$30:$R$32,2)))</f>
        <v>Sprig 1</v>
      </c>
      <c r="E7" t="str">
        <f>VLOOKUP(Summary!M17,Summary!$P$42:$Q$43,2)</f>
        <v>86</v>
      </c>
      <c r="F7">
        <f>IF(LEFT(A7,3)="B60",20,IF(LEFT(A7,3)="B12",30,25))+B7*0.5+INT(Summary!M20*20)</f>
        <v>240</v>
      </c>
      <c r="G7">
        <f>ROUND(IF(OR(ISERROR(FIND(Summary!$P$89,CONCATENATE(C7,D7,E7))),ISERROR(FIND(Summary!$Q$89,A7))),Summary!$R$45,IF(H7&gt;Summary!$V$3,Summary!$R$46,Summary!$R$45))*(B7+30),0)</f>
        <v>5</v>
      </c>
      <c r="H7">
        <f>IF(H6&gt;Summary!$V$4,0,H6+F6)</f>
        <v>2869</v>
      </c>
      <c r="I7" s="26">
        <f>DATE(YEAR(Summary!$V$2),MONTH(Summary!$V$2),DAY(Summary!$V$2)+INT(H7/480))</f>
        <v>43595</v>
      </c>
      <c r="J7" s="27">
        <f t="shared" si="0"/>
        <v>0.65902777777777777</v>
      </c>
    </row>
    <row r="8" spans="1:10">
      <c r="A8" t="str">
        <f>VLOOKUP(Summary!M7,Summary!$P$13:$Q$24,2)</f>
        <v>B1700-fire</v>
      </c>
      <c r="B8">
        <f>ROUND(NORMINV(Summary!M9,VLOOKUP(A8,Summary!$Q$13:$S$24,3,FALSE),VLOOKUP(A8,Summary!$Q$13:$S$24,3,FALSE)/6),-1)</f>
        <v>650</v>
      </c>
      <c r="C8" t="str">
        <f>IF(AND(H8=0,C7=Summary!$P$2),Summary!$Q$2,IF(AND(H8=0,C7=Summary!$Q$2),Summary!$R$2,C7))</f>
        <v>Neesha</v>
      </c>
      <c r="D8" t="str">
        <f>IF(C8=Summary!$P$26,VLOOKUP(Summary!M15,Summary!$Q$26:$R$27,2),IF('Run Data'!C8=Summary!$P$28,VLOOKUP(Summary!M15,Summary!$Q$28:$R$29,2),VLOOKUP(Summary!M15,Summary!$Q$30:$R$32,2)))</f>
        <v>Sprig 4</v>
      </c>
      <c r="E8" t="str">
        <f>VLOOKUP(Summary!M18,Summary!$P$42:$Q$43,2)</f>
        <v>86</v>
      </c>
      <c r="F8">
        <f>IF(LEFT(A8,3)="B60",20,IF(LEFT(A8,3)="B12",30,25))+B8*0.5+INT(Summary!M21*20)</f>
        <v>367</v>
      </c>
      <c r="G8">
        <f>ROUND(IF(OR(ISERROR(FIND(Summary!$P$89,CONCATENATE(C8,D8,E8))),ISERROR(FIND(Summary!$Q$89,A8))),Summary!$R$45,IF(H8&gt;Summary!$V$3,Summary!$R$46,Summary!$R$45))*(B8+30),0)</f>
        <v>7</v>
      </c>
      <c r="H8">
        <f>IF(H7&gt;Summary!$V$4,0,H7+F7)</f>
        <v>3109</v>
      </c>
      <c r="I8" s="26">
        <f>DATE(YEAR(Summary!$V$2),MONTH(Summary!$V$2),DAY(Summary!$V$2)+INT(H8/480))</f>
        <v>43596</v>
      </c>
      <c r="J8" s="27">
        <f t="shared" si="0"/>
        <v>0.49236111111111108</v>
      </c>
    </row>
    <row r="9" spans="1:10">
      <c r="A9" t="str">
        <f>VLOOKUP(Summary!M8,Summary!$P$13:$Q$24,2)</f>
        <v>B1200-lime</v>
      </c>
      <c r="B9">
        <f>ROUND(NORMINV(Summary!M10,VLOOKUP(A9,Summary!$Q$13:$S$24,3,FALSE),VLOOKUP(A9,Summary!$Q$13:$S$24,3,FALSE)/6),-1)</f>
        <v>740</v>
      </c>
      <c r="C9" t="str">
        <f>IF(AND(H9=0,C8=Summary!$P$2),Summary!$Q$2,IF(AND(H9=0,C8=Summary!$Q$2),Summary!$R$2,C8))</f>
        <v>Neesha</v>
      </c>
      <c r="D9" t="str">
        <f>IF(C9=Summary!$P$26,VLOOKUP(Summary!M16,Summary!$Q$26:$R$27,2),IF('Run Data'!C9=Summary!$P$28,VLOOKUP(Summary!M16,Summary!$Q$28:$R$29,2),VLOOKUP(Summary!M16,Summary!$Q$30:$R$32,2)))</f>
        <v>Sprig 4</v>
      </c>
      <c r="E9" t="str">
        <f>VLOOKUP(Summary!M19,Summary!$P$42:$Q$43,2)</f>
        <v>86</v>
      </c>
      <c r="F9">
        <f>IF(LEFT(A9,3)="B60",20,IF(LEFT(A9,3)="B12",30,25))+B9*0.5+INT(Summary!M22*20)</f>
        <v>402</v>
      </c>
      <c r="G9">
        <f>ROUND(IF(OR(ISERROR(FIND(Summary!$P$89,CONCATENATE(C9,D9,E9))),ISERROR(FIND(Summary!$Q$89,A9))),Summary!$R$45,IF(H9&gt;Summary!$V$3,Summary!$R$46,Summary!$R$45))*(B9+30),0)</f>
        <v>8</v>
      </c>
      <c r="H9">
        <f>IF(H8&gt;Summary!$V$4,0,H8+F8)</f>
        <v>3476</v>
      </c>
      <c r="I9" s="26">
        <f>DATE(YEAR(Summary!$V$2),MONTH(Summary!$V$2),DAY(Summary!$V$2)+INT(H9/480))</f>
        <v>43597</v>
      </c>
      <c r="J9" s="27">
        <f t="shared" si="0"/>
        <v>0.41388888888888892</v>
      </c>
    </row>
    <row r="10" spans="1:10">
      <c r="A10" t="str">
        <f>VLOOKUP(Summary!M9,Summary!$P$13:$Q$24,2)</f>
        <v>B600-lime</v>
      </c>
      <c r="B10">
        <f>ROUND(NORMINV(Summary!M11,VLOOKUP(A10,Summary!$Q$13:$S$24,3,FALSE),VLOOKUP(A10,Summary!$Q$13:$S$24,3,FALSE)/6),-1)</f>
        <v>270</v>
      </c>
      <c r="C10" t="str">
        <f>IF(AND(H10=0,C9=Summary!$P$2),Summary!$Q$2,IF(AND(H10=0,C9=Summary!$Q$2),Summary!$R$2,C9))</f>
        <v>Neesha</v>
      </c>
      <c r="D10" t="str">
        <f>IF(C10=Summary!$P$26,VLOOKUP(Summary!M17,Summary!$Q$26:$R$27,2),IF('Run Data'!C10=Summary!$P$28,VLOOKUP(Summary!M17,Summary!$Q$28:$R$29,2),VLOOKUP(Summary!M17,Summary!$Q$30:$R$32,2)))</f>
        <v>Sprig 1</v>
      </c>
      <c r="E10" t="str">
        <f>VLOOKUP(Summary!M20,Summary!$P$42:$Q$43,2)</f>
        <v>86</v>
      </c>
      <c r="F10">
        <f>IF(LEFT(A10,3)="B60",20,IF(LEFT(A10,3)="B12",30,25))+B10*0.5+INT(Summary!M23*20)</f>
        <v>161</v>
      </c>
      <c r="G10">
        <f>ROUND(IF(OR(ISERROR(FIND(Summary!$P$89,CONCATENATE(C10,D10,E10))),ISERROR(FIND(Summary!$Q$89,A10))),Summary!$R$45,IF(H10&gt;Summary!$V$3,Summary!$R$46,Summary!$R$45))*(B10+30),0)</f>
        <v>3</v>
      </c>
      <c r="H10">
        <f>IF(H9&gt;Summary!$V$4,0,H9+F9)</f>
        <v>3878</v>
      </c>
      <c r="I10" s="26">
        <f>DATE(YEAR(Summary!$V$2),MONTH(Summary!$V$2),DAY(Summary!$V$2)+INT(H10/480))</f>
        <v>43598</v>
      </c>
      <c r="J10" s="27">
        <f t="shared" si="0"/>
        <v>0.35972222222222222</v>
      </c>
    </row>
    <row r="11" spans="1:10">
      <c r="A11" t="str">
        <f>VLOOKUP(Summary!M10,Summary!$P$13:$Q$24,2)</f>
        <v>B1200-plum</v>
      </c>
      <c r="B11">
        <f>ROUND(NORMINV(Summary!M12,VLOOKUP(A11,Summary!$Q$13:$S$24,3,FALSE),VLOOKUP(A11,Summary!$Q$13:$S$24,3,FALSE)/6),-1)</f>
        <v>450</v>
      </c>
      <c r="C11" t="str">
        <f>IF(AND(H11=0,C10=Summary!$P$2),Summary!$Q$2,IF(AND(H11=0,C10=Summary!$Q$2),Summary!$R$2,C10))</f>
        <v>Neesha</v>
      </c>
      <c r="D11" t="str">
        <f>IF(C11=Summary!$P$26,VLOOKUP(Summary!M18,Summary!$Q$26:$R$27,2),IF('Run Data'!C11=Summary!$P$28,VLOOKUP(Summary!M18,Summary!$Q$28:$R$29,2),VLOOKUP(Summary!M18,Summary!$Q$30:$R$32,2)))</f>
        <v>Sprig 4</v>
      </c>
      <c r="E11" t="str">
        <f>VLOOKUP(Summary!M21,Summary!$P$42:$Q$43,2)</f>
        <v>87b</v>
      </c>
      <c r="F11">
        <f>IF(LEFT(A11,3)="B60",20,IF(LEFT(A11,3)="B12",30,25))+B11*0.5+INT(Summary!M24*20)</f>
        <v>261</v>
      </c>
      <c r="G11">
        <f>ROUND(IF(OR(ISERROR(FIND(Summary!$P$89,CONCATENATE(C11,D11,E11))),ISERROR(FIND(Summary!$Q$89,A11))),Summary!$R$45,IF(H11&gt;Summary!$V$3,Summary!$R$46,Summary!$R$45))*(B11+30),0)</f>
        <v>5</v>
      </c>
      <c r="H11">
        <f>IF(H10&gt;Summary!$V$4,0,H10+F10)</f>
        <v>4039</v>
      </c>
      <c r="I11" s="26">
        <f>DATE(YEAR(Summary!$V$2),MONTH(Summary!$V$2),DAY(Summary!$V$2)+INT(H11/480))</f>
        <v>43598</v>
      </c>
      <c r="J11" s="27">
        <f t="shared" si="0"/>
        <v>0.47152777777777777</v>
      </c>
    </row>
    <row r="12" spans="1:10">
      <c r="A12" t="str">
        <f>VLOOKUP(Summary!M11,Summary!$P$13:$Q$24,2)</f>
        <v>B1200-plum</v>
      </c>
      <c r="B12">
        <f>ROUND(NORMINV(Summary!M13,VLOOKUP(A12,Summary!$Q$13:$S$24,3,FALSE),VLOOKUP(A12,Summary!$Q$13:$S$24,3,FALSE)/6),-1)</f>
        <v>490</v>
      </c>
      <c r="C12" t="str">
        <f>IF(AND(H12=0,C11=Summary!$P$2),Summary!$Q$2,IF(AND(H12=0,C11=Summary!$Q$2),Summary!$R$2,C11))</f>
        <v>Neesha</v>
      </c>
      <c r="D12" t="str">
        <f>IF(C12=Summary!$P$26,VLOOKUP(Summary!M19,Summary!$Q$26:$R$27,2),IF('Run Data'!C12=Summary!$P$28,VLOOKUP(Summary!M19,Summary!$Q$28:$R$29,2),VLOOKUP(Summary!M19,Summary!$Q$30:$R$32,2)))</f>
        <v>Sprig 1</v>
      </c>
      <c r="E12" t="str">
        <f>VLOOKUP(Summary!M22,Summary!$P$42:$Q$43,2)</f>
        <v>86</v>
      </c>
      <c r="F12">
        <f>IF(LEFT(A12,3)="B60",20,IF(LEFT(A12,3)="B12",30,25))+B12*0.5+INT(Summary!M25*20)</f>
        <v>280</v>
      </c>
      <c r="G12">
        <f>ROUND(IF(OR(ISERROR(FIND(Summary!$P$89,CONCATENATE(C12,D12,E12))),ISERROR(FIND(Summary!$Q$89,A12))),Summary!$R$45,IF(H12&gt;Summary!$V$3,Summary!$R$46,Summary!$R$45))*(B12+30),0)</f>
        <v>5</v>
      </c>
      <c r="H12">
        <f>IF(H11&gt;Summary!$V$4,0,H11+F11)</f>
        <v>4300</v>
      </c>
      <c r="I12" s="26">
        <f>DATE(YEAR(Summary!$V$2),MONTH(Summary!$V$2),DAY(Summary!$V$2)+INT(H12/480))</f>
        <v>43598</v>
      </c>
      <c r="J12" s="27">
        <f t="shared" si="0"/>
        <v>0.65277777777777779</v>
      </c>
    </row>
    <row r="13" spans="1:10">
      <c r="A13" t="str">
        <f>VLOOKUP(Summary!M12,Summary!$P$13:$Q$24,2)</f>
        <v>B1200-fire</v>
      </c>
      <c r="B13">
        <f>ROUND(NORMINV(Summary!M14,VLOOKUP(A13,Summary!$Q$13:$S$24,3,FALSE),VLOOKUP(A13,Summary!$Q$13:$S$24,3,FALSE)/6),-1)</f>
        <v>1130</v>
      </c>
      <c r="C13" t="str">
        <f>IF(AND(H13=0,C12=Summary!$P$2),Summary!$Q$2,IF(AND(H13=0,C12=Summary!$Q$2),Summary!$R$2,C12))</f>
        <v>Neesha</v>
      </c>
      <c r="D13" t="str">
        <f>IF(C13=Summary!$P$26,VLOOKUP(Summary!M20,Summary!$Q$26:$R$27,2),IF('Run Data'!C13=Summary!$P$28,VLOOKUP(Summary!M20,Summary!$Q$28:$R$29,2),VLOOKUP(Summary!M20,Summary!$Q$30:$R$32,2)))</f>
        <v>Sprig 1</v>
      </c>
      <c r="E13" t="str">
        <f>VLOOKUP(Summary!M23,Summary!$P$42:$Q$43,2)</f>
        <v>86</v>
      </c>
      <c r="F13">
        <f>IF(LEFT(A13,3)="B60",20,IF(LEFT(A13,3)="B12",30,25))+B13*0.5+INT(Summary!M26*20)</f>
        <v>607</v>
      </c>
      <c r="G13">
        <f>ROUND(IF(OR(ISERROR(FIND(Summary!$P$89,CONCATENATE(C13,D13,E13))),ISERROR(FIND(Summary!$Q$89,A13))),Summary!$R$45,IF(H13&gt;Summary!$V$3,Summary!$R$46,Summary!$R$45))*(B13+30),0)</f>
        <v>12</v>
      </c>
      <c r="H13">
        <f>IF(H12&gt;Summary!$V$4,0,H12+F12)</f>
        <v>4580</v>
      </c>
      <c r="I13" s="26">
        <f>DATE(YEAR(Summary!$V$2),MONTH(Summary!$V$2),DAY(Summary!$V$2)+INT(H13/480))</f>
        <v>43599</v>
      </c>
      <c r="J13" s="27">
        <f t="shared" si="0"/>
        <v>0.51388888888888895</v>
      </c>
    </row>
    <row r="14" spans="1:10">
      <c r="A14" t="str">
        <f>VLOOKUP(Summary!M13,Summary!$P$13:$Q$24,2)</f>
        <v>B1700-plum</v>
      </c>
      <c r="B14">
        <f>ROUND(NORMINV(Summary!M15,VLOOKUP(A14,Summary!$Q$13:$S$24,3,FALSE),VLOOKUP(A14,Summary!$Q$13:$S$24,3,FALSE)/6),-1)</f>
        <v>370</v>
      </c>
      <c r="C14" t="str">
        <f>IF(AND(H14=0,C13=Summary!$P$2),Summary!$Q$2,IF(AND(H14=0,C13=Summary!$Q$2),Summary!$R$2,C13))</f>
        <v>Neesha</v>
      </c>
      <c r="D14" t="str">
        <f>IF(C14=Summary!$P$26,VLOOKUP(Summary!M21,Summary!$Q$26:$R$27,2),IF('Run Data'!C14=Summary!$P$28,VLOOKUP(Summary!M21,Summary!$Q$28:$R$29,2),VLOOKUP(Summary!M21,Summary!$Q$30:$R$32,2)))</f>
        <v>Sprig 4</v>
      </c>
      <c r="E14" t="str">
        <f>VLOOKUP(Summary!M24,Summary!$P$42:$Q$43,2)</f>
        <v>86</v>
      </c>
      <c r="F14">
        <f>IF(LEFT(A14,3)="B60",20,IF(LEFT(A14,3)="B12",30,25))+B14*0.5+INT(Summary!M27*20)</f>
        <v>215</v>
      </c>
      <c r="G14">
        <f>ROUND(IF(OR(ISERROR(FIND(Summary!$P$89,CONCATENATE(C14,D14,E14))),ISERROR(FIND(Summary!$Q$89,A14))),Summary!$R$45,IF(H14&gt;Summary!$V$3,Summary!$R$46,Summary!$R$45))*(B14+30),0)</f>
        <v>4</v>
      </c>
      <c r="H14">
        <f>IF(H13&gt;Summary!$V$4,0,H13+F13)</f>
        <v>5187</v>
      </c>
      <c r="I14" s="26">
        <f>DATE(YEAR(Summary!$V$2),MONTH(Summary!$V$2),DAY(Summary!$V$2)+INT(H14/480))</f>
        <v>43600</v>
      </c>
      <c r="J14" s="27">
        <f t="shared" si="0"/>
        <v>0.6020833333333333</v>
      </c>
    </row>
    <row r="15" spans="1:10">
      <c r="A15" t="str">
        <f>VLOOKUP(Summary!M14,Summary!$P$13:$Q$24,2)</f>
        <v>B1200-sky</v>
      </c>
      <c r="B15">
        <f>ROUND(NORMINV(Summary!M16,VLOOKUP(A15,Summary!$Q$13:$S$24,3,FALSE),VLOOKUP(A15,Summary!$Q$13:$S$24,3,FALSE)/6),-1)</f>
        <v>1360</v>
      </c>
      <c r="C15" t="str">
        <f>IF(AND(H15=0,C14=Summary!$P$2),Summary!$Q$2,IF(AND(H15=0,C14=Summary!$Q$2),Summary!$R$2,C14))</f>
        <v>Neesha</v>
      </c>
      <c r="D15" t="str">
        <f>IF(C15=Summary!$P$26,VLOOKUP(Summary!M22,Summary!$Q$26:$R$27,2),IF('Run Data'!C15=Summary!$P$28,VLOOKUP(Summary!M22,Summary!$Q$28:$R$29,2),VLOOKUP(Summary!M22,Summary!$Q$30:$R$32,2)))</f>
        <v>Sprig 1</v>
      </c>
      <c r="E15" t="str">
        <f>VLOOKUP(Summary!M25,Summary!$P$42:$Q$43,2)</f>
        <v>86</v>
      </c>
      <c r="F15">
        <f>IF(LEFT(A15,3)="B60",20,IF(LEFT(A15,3)="B12",30,25))+B15*0.5+INT(Summary!M28*20)</f>
        <v>712</v>
      </c>
      <c r="G15">
        <f>ROUND(IF(OR(ISERROR(FIND(Summary!$P$89,CONCATENATE(C15,D15,E15))),ISERROR(FIND(Summary!$Q$89,A15))),Summary!$R$45,IF(H15&gt;Summary!$V$3,Summary!$R$46,Summary!$R$45))*(B15+30),0)</f>
        <v>14</v>
      </c>
      <c r="H15">
        <f>IF(H14&gt;Summary!$V$4,0,H14+F14)</f>
        <v>5402</v>
      </c>
      <c r="I15" s="26">
        <f>DATE(YEAR(Summary!$V$2),MONTH(Summary!$V$2),DAY(Summary!$V$2)+INT(H15/480))</f>
        <v>43601</v>
      </c>
      <c r="J15" s="27">
        <f t="shared" si="0"/>
        <v>0.41805555555555557</v>
      </c>
    </row>
    <row r="16" spans="1:10">
      <c r="A16" t="str">
        <f>VLOOKUP(Summary!M15,Summary!$P$13:$Q$24,2)</f>
        <v>B1700-fire</v>
      </c>
      <c r="B16">
        <f>ROUND(NORMINV(Summary!M17,VLOOKUP(A16,Summary!$Q$13:$S$24,3,FALSE),VLOOKUP(A16,Summary!$Q$13:$S$24,3,FALSE)/6),-1)</f>
        <v>790</v>
      </c>
      <c r="C16" t="str">
        <f>IF(AND(H16=0,C15=Summary!$P$2),Summary!$Q$2,IF(AND(H16=0,C15=Summary!$Q$2),Summary!$R$2,C15))</f>
        <v>Neesha</v>
      </c>
      <c r="D16" t="str">
        <f>IF(C16=Summary!$P$26,VLOOKUP(Summary!M23,Summary!$Q$26:$R$27,2),IF('Run Data'!C16=Summary!$P$28,VLOOKUP(Summary!M23,Summary!$Q$28:$R$29,2),VLOOKUP(Summary!M23,Summary!$Q$30:$R$32,2)))</f>
        <v>Sprig 1</v>
      </c>
      <c r="E16" t="str">
        <f>VLOOKUP(Summary!M26,Summary!$P$42:$Q$43,2)</f>
        <v>86</v>
      </c>
      <c r="F16">
        <f>IF(LEFT(A16,3)="B60",20,IF(LEFT(A16,3)="B12",30,25))+B16*0.5+INT(Summary!M29*20)</f>
        <v>427</v>
      </c>
      <c r="G16">
        <f>ROUND(IF(OR(ISERROR(FIND(Summary!$P$89,CONCATENATE(C16,D16,E16))),ISERROR(FIND(Summary!$Q$89,A16))),Summary!$R$45,IF(H16&gt;Summary!$V$3,Summary!$R$46,Summary!$R$45))*(B16+30),0)</f>
        <v>8</v>
      </c>
      <c r="H16">
        <f>IF(H15&gt;Summary!$V$4,0,H15+F15)</f>
        <v>6114</v>
      </c>
      <c r="I16" s="26">
        <f>DATE(YEAR(Summary!$V$2),MONTH(Summary!$V$2),DAY(Summary!$V$2)+INT(H16/480))</f>
        <v>43602</v>
      </c>
      <c r="J16" s="27">
        <f t="shared" si="0"/>
        <v>0.57916666666666672</v>
      </c>
    </row>
    <row r="17" spans="1:10">
      <c r="A17" t="str">
        <f>VLOOKUP(Summary!M16,Summary!$P$13:$Q$24,2)</f>
        <v>B1700-sky</v>
      </c>
      <c r="B17">
        <f>ROUND(NORMINV(Summary!M18,VLOOKUP(A17,Summary!$Q$13:$S$24,3,FALSE),VLOOKUP(A17,Summary!$Q$13:$S$24,3,FALSE)/6),-1)</f>
        <v>630</v>
      </c>
      <c r="C17" t="str">
        <f>IF(AND(H17=0,C16=Summary!$P$2),Summary!$Q$2,IF(AND(H17=0,C16=Summary!$Q$2),Summary!$R$2,C16))</f>
        <v>Neesha</v>
      </c>
      <c r="D17" t="str">
        <f>IF(C17=Summary!$P$26,VLOOKUP(Summary!M24,Summary!$Q$26:$R$27,2),IF('Run Data'!C17=Summary!$P$28,VLOOKUP(Summary!M24,Summary!$Q$28:$R$29,2),VLOOKUP(Summary!M24,Summary!$Q$30:$R$32,2)))</f>
        <v>Sprig 1</v>
      </c>
      <c r="E17" t="str">
        <f>VLOOKUP(Summary!M27,Summary!$P$42:$Q$43,2)</f>
        <v>86</v>
      </c>
      <c r="F17">
        <f>IF(LEFT(A17,3)="B60",20,IF(LEFT(A17,3)="B12",30,25))+B17*0.5+INT(Summary!M30*20)</f>
        <v>341</v>
      </c>
      <c r="G17">
        <f>ROUND(IF(OR(ISERROR(FIND(Summary!$P$89,CONCATENATE(C17,D17,E17))),ISERROR(FIND(Summary!$Q$89,A17))),Summary!$R$45,IF(H17&gt;Summary!$V$3,Summary!$R$46,Summary!$R$45))*(B17+30),0)</f>
        <v>7</v>
      </c>
      <c r="H17">
        <f>IF(H16&gt;Summary!$V$4,0,H16+F16)</f>
        <v>6541</v>
      </c>
      <c r="I17" s="26">
        <f>DATE(YEAR(Summary!$V$2),MONTH(Summary!$V$2),DAY(Summary!$V$2)+INT(H17/480))</f>
        <v>43603</v>
      </c>
      <c r="J17" s="27">
        <f t="shared" ref="J17:J80" si="1">TIME(INT(MOD(H17,480)/60)+8,MOD(MOD(H17,480),60),0)</f>
        <v>0.54236111111111118</v>
      </c>
    </row>
    <row r="18" spans="1:10">
      <c r="A18" t="str">
        <f>VLOOKUP(Summary!M17,Summary!$P$13:$Q$24,2)</f>
        <v>B1200-lime</v>
      </c>
      <c r="B18">
        <f>ROUND(NORMINV(Summary!M19,VLOOKUP(A18,Summary!$Q$13:$S$24,3,FALSE),VLOOKUP(A18,Summary!$Q$13:$S$24,3,FALSE)/6),-1)</f>
        <v>860</v>
      </c>
      <c r="C18" t="str">
        <f>IF(AND(H18=0,C17=Summary!$P$2),Summary!$Q$2,IF(AND(H18=0,C17=Summary!$Q$2),Summary!$R$2,C17))</f>
        <v>Neesha</v>
      </c>
      <c r="D18" t="str">
        <f>IF(C18=Summary!$P$26,VLOOKUP(Summary!M25,Summary!$Q$26:$R$27,2),IF('Run Data'!C18=Summary!$P$28,VLOOKUP(Summary!M25,Summary!$Q$28:$R$29,2),VLOOKUP(Summary!M25,Summary!$Q$30:$R$32,2)))</f>
        <v>Sprig 1</v>
      </c>
      <c r="E18" t="str">
        <f>VLOOKUP(Summary!M28,Summary!$P$42:$Q$43,2)</f>
        <v>86</v>
      </c>
      <c r="F18">
        <f>IF(LEFT(A18,3)="B60",20,IF(LEFT(A18,3)="B12",30,25))+B18*0.5+INT(Summary!M31*20)</f>
        <v>478</v>
      </c>
      <c r="G18">
        <f>ROUND(IF(OR(ISERROR(FIND(Summary!$P$89,CONCATENATE(C18,D18,E18))),ISERROR(FIND(Summary!$Q$89,A18))),Summary!$R$45,IF(H18&gt;Summary!$V$3,Summary!$R$46,Summary!$R$45))*(B18+30),0)</f>
        <v>9</v>
      </c>
      <c r="H18">
        <f>IF(H17&gt;Summary!$V$4,0,H17+F17)</f>
        <v>6882</v>
      </c>
      <c r="I18" s="26">
        <f>DATE(YEAR(Summary!$V$2),MONTH(Summary!$V$2),DAY(Summary!$V$2)+INT(H18/480))</f>
        <v>43604</v>
      </c>
      <c r="J18" s="27">
        <f t="shared" si="1"/>
        <v>0.4458333333333333</v>
      </c>
    </row>
    <row r="19" spans="1:10">
      <c r="A19" t="str">
        <f>VLOOKUP(Summary!M18,Summary!$P$13:$Q$24,2)</f>
        <v>B1700-sky</v>
      </c>
      <c r="B19">
        <f>ROUND(NORMINV(Summary!M20,VLOOKUP(A19,Summary!$Q$13:$S$24,3,FALSE),VLOOKUP(A19,Summary!$Q$13:$S$24,3,FALSE)/6),-1)</f>
        <v>360</v>
      </c>
      <c r="C19" t="str">
        <f>IF(AND(H19=0,C18=Summary!$P$2),Summary!$Q$2,IF(AND(H19=0,C18=Summary!$Q$2),Summary!$R$2,C18))</f>
        <v>Neesha</v>
      </c>
      <c r="D19" t="str">
        <f>IF(C19=Summary!$P$26,VLOOKUP(Summary!M26,Summary!$Q$26:$R$27,2),IF('Run Data'!C19=Summary!$P$28,VLOOKUP(Summary!M26,Summary!$Q$28:$R$29,2),VLOOKUP(Summary!M26,Summary!$Q$30:$R$32,2)))</f>
        <v>Sprig 1</v>
      </c>
      <c r="E19" t="str">
        <f>VLOOKUP(Summary!M29,Summary!$P$42:$Q$43,2)</f>
        <v>86</v>
      </c>
      <c r="F19">
        <f>IF(LEFT(A19,3)="B60",20,IF(LEFT(A19,3)="B12",30,25))+B19*0.5+INT(Summary!M32*20)</f>
        <v>219</v>
      </c>
      <c r="G19">
        <f>ROUND(IF(OR(ISERROR(FIND(Summary!$P$89,CONCATENATE(C19,D19,E19))),ISERROR(FIND(Summary!$Q$89,A19))),Summary!$R$45,IF(H19&gt;Summary!$V$3,Summary!$R$46,Summary!$R$45))*(B19+30),0)</f>
        <v>4</v>
      </c>
      <c r="H19">
        <f>IF(H18&gt;Summary!$V$4,0,H18+F18)</f>
        <v>7360</v>
      </c>
      <c r="I19" s="26">
        <f>DATE(YEAR(Summary!$V$2),MONTH(Summary!$V$2),DAY(Summary!$V$2)+INT(H19/480))</f>
        <v>43605</v>
      </c>
      <c r="J19" s="27">
        <f t="shared" si="1"/>
        <v>0.44444444444444442</v>
      </c>
    </row>
    <row r="20" spans="1:10">
      <c r="A20" t="str">
        <f>VLOOKUP(Summary!M19,Summary!$P$13:$Q$24,2)</f>
        <v>B1200-lime</v>
      </c>
      <c r="B20">
        <f>ROUND(NORMINV(Summary!M21,VLOOKUP(A20,Summary!$Q$13:$S$24,3,FALSE),VLOOKUP(A20,Summary!$Q$13:$S$24,3,FALSE)/6),-1)</f>
        <v>960</v>
      </c>
      <c r="C20" t="str">
        <f>IF(AND(H20=0,C19=Summary!$P$2),Summary!$Q$2,IF(AND(H20=0,C19=Summary!$Q$2),Summary!$R$2,C19))</f>
        <v>Neesha</v>
      </c>
      <c r="D20" t="str">
        <f>IF(C20=Summary!$P$26,VLOOKUP(Summary!M27,Summary!$Q$26:$R$27,2),IF('Run Data'!C20=Summary!$P$28,VLOOKUP(Summary!M27,Summary!$Q$28:$R$29,2),VLOOKUP(Summary!M27,Summary!$Q$30:$R$32,2)))</f>
        <v>Sprig 1</v>
      </c>
      <c r="E20" t="str">
        <f>VLOOKUP(Summary!M30,Summary!$P$42:$Q$43,2)</f>
        <v>86</v>
      </c>
      <c r="F20">
        <f>IF(LEFT(A20,3)="B60",20,IF(LEFT(A20,3)="B12",30,25))+B20*0.5+INT(Summary!M33*20)</f>
        <v>522</v>
      </c>
      <c r="G20">
        <f>ROUND(IF(OR(ISERROR(FIND(Summary!$P$89,CONCATENATE(C20,D20,E20))),ISERROR(FIND(Summary!$Q$89,A20))),Summary!$R$45,IF(H20&gt;Summary!$V$3,Summary!$R$46,Summary!$R$45))*(B20+30),0)</f>
        <v>10</v>
      </c>
      <c r="H20">
        <f>IF(H19&gt;Summary!$V$4,0,H19+F19)</f>
        <v>7579</v>
      </c>
      <c r="I20" s="26">
        <f>DATE(YEAR(Summary!$V$2),MONTH(Summary!$V$2),DAY(Summary!$V$2)+INT(H20/480))</f>
        <v>43605</v>
      </c>
      <c r="J20" s="27">
        <f t="shared" si="1"/>
        <v>0.59652777777777777</v>
      </c>
    </row>
    <row r="21" spans="1:10">
      <c r="A21" t="str">
        <f>VLOOKUP(Summary!M20,Summary!$P$13:$Q$24,2)</f>
        <v>B600-plum</v>
      </c>
      <c r="B21">
        <f>ROUND(NORMINV(Summary!M22,VLOOKUP(A21,Summary!$Q$13:$S$24,3,FALSE),VLOOKUP(A21,Summary!$Q$13:$S$24,3,FALSE)/6),-1)</f>
        <v>160</v>
      </c>
      <c r="C21" t="str">
        <f>IF(AND(H21=0,C20=Summary!$P$2),Summary!$Q$2,IF(AND(H21=0,C20=Summary!$Q$2),Summary!$R$2,C20))</f>
        <v>Neesha</v>
      </c>
      <c r="D21" t="str">
        <f>IF(C21=Summary!$P$26,VLOOKUP(Summary!M28,Summary!$Q$26:$R$27,2),IF('Run Data'!C21=Summary!$P$28,VLOOKUP(Summary!M28,Summary!$Q$28:$R$29,2),VLOOKUP(Summary!M28,Summary!$Q$30:$R$32,2)))</f>
        <v>Sprig 1</v>
      </c>
      <c r="E21" t="str">
        <f>VLOOKUP(Summary!M31,Summary!$P$42:$Q$43,2)</f>
        <v>87b</v>
      </c>
      <c r="F21">
        <f>IF(LEFT(A21,3)="B60",20,IF(LEFT(A21,3)="B12",30,25))+B21*0.5+INT(Summary!M34*20)</f>
        <v>119</v>
      </c>
      <c r="G21">
        <f>ROUND(IF(OR(ISERROR(FIND(Summary!$P$89,CONCATENATE(C21,D21,E21))),ISERROR(FIND(Summary!$Q$89,A21))),Summary!$R$45,IF(H21&gt;Summary!$V$3,Summary!$R$46,Summary!$R$45))*(B21+30),0)</f>
        <v>2</v>
      </c>
      <c r="H21">
        <f>IF(H20&gt;Summary!$V$4,0,H20+F20)</f>
        <v>8101</v>
      </c>
      <c r="I21" s="26">
        <f>DATE(YEAR(Summary!$V$2),MONTH(Summary!$V$2),DAY(Summary!$V$2)+INT(H21/480))</f>
        <v>43606</v>
      </c>
      <c r="J21" s="27">
        <f t="shared" si="1"/>
        <v>0.62569444444444444</v>
      </c>
    </row>
    <row r="22" spans="1:10">
      <c r="A22" t="str">
        <f>VLOOKUP(Summary!M21,Summary!$P$13:$Q$24,2)</f>
        <v>B1700-fire</v>
      </c>
      <c r="B22">
        <f>ROUND(NORMINV(Summary!M23,VLOOKUP(A22,Summary!$Q$13:$S$24,3,FALSE),VLOOKUP(A22,Summary!$Q$13:$S$24,3,FALSE)/6),-1)</f>
        <v>690</v>
      </c>
      <c r="C22" t="str">
        <f>IF(AND(H22=0,C21=Summary!$P$2),Summary!$Q$2,IF(AND(H22=0,C21=Summary!$Q$2),Summary!$R$2,C21))</f>
        <v>Neesha</v>
      </c>
      <c r="D22" t="str">
        <f>IF(C22=Summary!$P$26,VLOOKUP(Summary!M29,Summary!$Q$26:$R$27,2),IF('Run Data'!C22=Summary!$P$28,VLOOKUP(Summary!M29,Summary!$Q$28:$R$29,2),VLOOKUP(Summary!M29,Summary!$Q$30:$R$32,2)))</f>
        <v>Sprig 1</v>
      </c>
      <c r="E22" t="str">
        <f>VLOOKUP(Summary!M32,Summary!$P$42:$Q$43,2)</f>
        <v>86</v>
      </c>
      <c r="F22">
        <f>IF(LEFT(A22,3)="B60",20,IF(LEFT(A22,3)="B12",30,25))+B22*0.5+INT(Summary!M35*20)</f>
        <v>381</v>
      </c>
      <c r="G22">
        <f>ROUND(IF(OR(ISERROR(FIND(Summary!$P$89,CONCATENATE(C22,D22,E22))),ISERROR(FIND(Summary!$Q$89,A22))),Summary!$R$45,IF(H22&gt;Summary!$V$3,Summary!$R$46,Summary!$R$45))*(B22+30),0)</f>
        <v>7</v>
      </c>
      <c r="H22">
        <f>IF(H21&gt;Summary!$V$4,0,H21+F21)</f>
        <v>8220</v>
      </c>
      <c r="I22" s="26">
        <f>DATE(YEAR(Summary!$V$2),MONTH(Summary!$V$2),DAY(Summary!$V$2)+INT(H22/480))</f>
        <v>43607</v>
      </c>
      <c r="J22" s="27">
        <f t="shared" si="1"/>
        <v>0.375</v>
      </c>
    </row>
    <row r="23" spans="1:10">
      <c r="A23" t="str">
        <f>VLOOKUP(Summary!M22,Summary!$P$13:$Q$24,2)</f>
        <v>B600-fire</v>
      </c>
      <c r="B23">
        <f>ROUND(NORMINV(Summary!M24,VLOOKUP(A23,Summary!$Q$13:$S$24,3,FALSE),VLOOKUP(A23,Summary!$Q$13:$S$24,3,FALSE)/6),-1)</f>
        <v>370</v>
      </c>
      <c r="C23" t="str">
        <f>IF(AND(H23=0,C22=Summary!$P$2),Summary!$Q$2,IF(AND(H23=0,C22=Summary!$Q$2),Summary!$R$2,C22))</f>
        <v>Neesha</v>
      </c>
      <c r="D23" t="str">
        <f>IF(C23=Summary!$P$26,VLOOKUP(Summary!M30,Summary!$Q$26:$R$27,2),IF('Run Data'!C23=Summary!$P$28,VLOOKUP(Summary!M30,Summary!$Q$28:$R$29,2),VLOOKUP(Summary!M30,Summary!$Q$30:$R$32,2)))</f>
        <v>Sprig 1</v>
      </c>
      <c r="E23" t="str">
        <f>VLOOKUP(Summary!M33,Summary!$P$42:$Q$43,2)</f>
        <v>86</v>
      </c>
      <c r="F23">
        <f>IF(LEFT(A23,3)="B60",20,IF(LEFT(A23,3)="B12",30,25))+B23*0.5+INT(Summary!M36*20)</f>
        <v>223</v>
      </c>
      <c r="G23">
        <f>ROUND(IF(OR(ISERROR(FIND(Summary!$P$89,CONCATENATE(C23,D23,E23))),ISERROR(FIND(Summary!$Q$89,A23))),Summary!$R$45,IF(H23&gt;Summary!$V$3,Summary!$R$46,Summary!$R$45))*(B23+30),0)</f>
        <v>4</v>
      </c>
      <c r="H23">
        <f>IF(H22&gt;Summary!$V$4,0,H22+F22)</f>
        <v>8601</v>
      </c>
      <c r="I23" s="26">
        <f>DATE(YEAR(Summary!$V$2),MONTH(Summary!$V$2),DAY(Summary!$V$2)+INT(H23/480))</f>
        <v>43607</v>
      </c>
      <c r="J23" s="27">
        <f t="shared" si="1"/>
        <v>0.63958333333333328</v>
      </c>
    </row>
    <row r="24" spans="1:10">
      <c r="A24" t="str">
        <f>VLOOKUP(Summary!M23,Summary!$P$13:$Q$24,2)</f>
        <v>B1200-plum</v>
      </c>
      <c r="B24">
        <f>ROUND(NORMINV(Summary!M25,VLOOKUP(A24,Summary!$Q$13:$S$24,3,FALSE),VLOOKUP(A24,Summary!$Q$13:$S$24,3,FALSE)/6),-1)</f>
        <v>410</v>
      </c>
      <c r="C24" t="str">
        <f>IF(AND(H24=0,C23=Summary!$P$2),Summary!$Q$2,IF(AND(H24=0,C23=Summary!$Q$2),Summary!$R$2,C23))</f>
        <v>Neesha</v>
      </c>
      <c r="D24" t="str">
        <f>IF(C24=Summary!$P$26,VLOOKUP(Summary!M31,Summary!$Q$26:$R$27,2),IF('Run Data'!C24=Summary!$P$28,VLOOKUP(Summary!M31,Summary!$Q$28:$R$29,2),VLOOKUP(Summary!M31,Summary!$Q$30:$R$32,2)))</f>
        <v>Sprig 4</v>
      </c>
      <c r="E24" t="str">
        <f>VLOOKUP(Summary!M34,Summary!$P$42:$Q$43,2)</f>
        <v>87b</v>
      </c>
      <c r="F24">
        <f>IF(LEFT(A24,3)="B60",20,IF(LEFT(A24,3)="B12",30,25))+B24*0.5+INT(Summary!M37*20)</f>
        <v>247</v>
      </c>
      <c r="G24">
        <f>ROUND(IF(OR(ISERROR(FIND(Summary!$P$89,CONCATENATE(C24,D24,E24))),ISERROR(FIND(Summary!$Q$89,A24))),Summary!$R$45,IF(H24&gt;Summary!$V$3,Summary!$R$46,Summary!$R$45))*(B24+30),0)</f>
        <v>4</v>
      </c>
      <c r="H24">
        <f>IF(H23&gt;Summary!$V$4,0,H23+F23)</f>
        <v>8824</v>
      </c>
      <c r="I24" s="26">
        <f>DATE(YEAR(Summary!$V$2),MONTH(Summary!$V$2),DAY(Summary!$V$2)+INT(H24/480))</f>
        <v>43608</v>
      </c>
      <c r="J24" s="27">
        <f t="shared" si="1"/>
        <v>0.46111111111111108</v>
      </c>
    </row>
    <row r="25" spans="1:10">
      <c r="A25" t="str">
        <f>VLOOKUP(Summary!M24,Summary!$P$13:$Q$24,2)</f>
        <v>B1200-plum</v>
      </c>
      <c r="B25">
        <f>ROUND(NORMINV(Summary!M26,VLOOKUP(A25,Summary!$Q$13:$S$24,3,FALSE),VLOOKUP(A25,Summary!$Q$13:$S$24,3,FALSE)/6),-1)</f>
        <v>480</v>
      </c>
      <c r="C25" t="str">
        <f>IF(AND(H25=0,C24=Summary!$P$2),Summary!$Q$2,IF(AND(H25=0,C24=Summary!$Q$2),Summary!$R$2,C24))</f>
        <v>Neesha</v>
      </c>
      <c r="D25" t="str">
        <f>IF(C25=Summary!$P$26,VLOOKUP(Summary!M32,Summary!$Q$26:$R$27,2),IF('Run Data'!C25=Summary!$P$28,VLOOKUP(Summary!M32,Summary!$Q$28:$R$29,2),VLOOKUP(Summary!M32,Summary!$Q$30:$R$32,2)))</f>
        <v>Sprig 1</v>
      </c>
      <c r="E25" t="str">
        <f>VLOOKUP(Summary!M35,Summary!$P$42:$Q$43,2)</f>
        <v>86</v>
      </c>
      <c r="F25">
        <f>IF(LEFT(A25,3)="B60",20,IF(LEFT(A25,3)="B12",30,25))+B25*0.5+INT(Summary!M38*20)</f>
        <v>272</v>
      </c>
      <c r="G25">
        <f>ROUND(IF(OR(ISERROR(FIND(Summary!$P$89,CONCATENATE(C25,D25,E25))),ISERROR(FIND(Summary!$Q$89,A25))),Summary!$R$45,IF(H25&gt;Summary!$V$3,Summary!$R$46,Summary!$R$45))*(B25+30),0)</f>
        <v>5</v>
      </c>
      <c r="H25">
        <f>IF(H24&gt;Summary!$V$4,0,H24+F24)</f>
        <v>9071</v>
      </c>
      <c r="I25" s="26">
        <f>DATE(YEAR(Summary!$V$2),MONTH(Summary!$V$2),DAY(Summary!$V$2)+INT(H25/480))</f>
        <v>43608</v>
      </c>
      <c r="J25" s="27">
        <f t="shared" si="1"/>
        <v>0.63263888888888886</v>
      </c>
    </row>
    <row r="26" spans="1:10">
      <c r="A26" t="str">
        <f>VLOOKUP(Summary!M25,Summary!$P$13:$Q$24,2)</f>
        <v>B1200-plum</v>
      </c>
      <c r="B26">
        <f>ROUND(NORMINV(Summary!M27,VLOOKUP(A26,Summary!$Q$13:$S$24,3,FALSE),VLOOKUP(A26,Summary!$Q$13:$S$24,3,FALSE)/6),-1)</f>
        <v>410</v>
      </c>
      <c r="C26" t="str">
        <f>IF(AND(H26=0,C25=Summary!$P$2),Summary!$Q$2,IF(AND(H26=0,C25=Summary!$Q$2),Summary!$R$2,C25))</f>
        <v>Neesha</v>
      </c>
      <c r="D26" t="str">
        <f>IF(C26=Summary!$P$26,VLOOKUP(Summary!M33,Summary!$Q$26:$R$27,2),IF('Run Data'!C26=Summary!$P$28,VLOOKUP(Summary!M33,Summary!$Q$28:$R$29,2),VLOOKUP(Summary!M33,Summary!$Q$30:$R$32,2)))</f>
        <v>Sprig 1</v>
      </c>
      <c r="E26" t="str">
        <f>VLOOKUP(Summary!M36,Summary!$P$42:$Q$43,2)</f>
        <v>87b</v>
      </c>
      <c r="F26">
        <f>IF(LEFT(A26,3)="B60",20,IF(LEFT(A26,3)="B12",30,25))+B26*0.5+INT(Summary!M39*20)</f>
        <v>237</v>
      </c>
      <c r="G26">
        <f>ROUND(IF(OR(ISERROR(FIND(Summary!$P$89,CONCATENATE(C26,D26,E26))),ISERROR(FIND(Summary!$Q$89,A26))),Summary!$R$45,IF(H26&gt;Summary!$V$3,Summary!$R$46,Summary!$R$45))*(B26+30),0)</f>
        <v>4</v>
      </c>
      <c r="H26">
        <f>IF(H25&gt;Summary!$V$4,0,H25+F25)</f>
        <v>9343</v>
      </c>
      <c r="I26" s="26">
        <f>DATE(YEAR(Summary!$V$2),MONTH(Summary!$V$2),DAY(Summary!$V$2)+INT(H26/480))</f>
        <v>43609</v>
      </c>
      <c r="J26" s="27">
        <f t="shared" si="1"/>
        <v>0.48819444444444443</v>
      </c>
    </row>
    <row r="27" spans="1:10">
      <c r="A27" t="str">
        <f>VLOOKUP(Summary!M26,Summary!$P$13:$Q$24,2)</f>
        <v>B1200-lime</v>
      </c>
      <c r="B27">
        <f>ROUND(NORMINV(Summary!M28,VLOOKUP(A27,Summary!$Q$13:$S$24,3,FALSE),VLOOKUP(A27,Summary!$Q$13:$S$24,3,FALSE)/6),-1)</f>
        <v>630</v>
      </c>
      <c r="C27" t="str">
        <f>IF(AND(H27=0,C26=Summary!$P$2),Summary!$Q$2,IF(AND(H27=0,C26=Summary!$Q$2),Summary!$R$2,C26))</f>
        <v>Neesha</v>
      </c>
      <c r="D27" t="str">
        <f>IF(C27=Summary!$P$26,VLOOKUP(Summary!M34,Summary!$Q$26:$R$27,2),IF('Run Data'!C27=Summary!$P$28,VLOOKUP(Summary!M34,Summary!$Q$28:$R$29,2),VLOOKUP(Summary!M34,Summary!$Q$30:$R$32,2)))</f>
        <v>Sprig 4</v>
      </c>
      <c r="E27" t="str">
        <f>VLOOKUP(Summary!M37,Summary!$P$42:$Q$43,2)</f>
        <v>86</v>
      </c>
      <c r="F27">
        <f>IF(LEFT(A27,3)="B60",20,IF(LEFT(A27,3)="B12",30,25))+B27*0.5+INT(Summary!M40*20)</f>
        <v>360</v>
      </c>
      <c r="G27">
        <f>ROUND(IF(OR(ISERROR(FIND(Summary!$P$89,CONCATENATE(C27,D27,E27))),ISERROR(FIND(Summary!$Q$89,A27))),Summary!$R$45,IF(H27&gt;Summary!$V$3,Summary!$R$46,Summary!$R$45))*(B27+30),0)</f>
        <v>7</v>
      </c>
      <c r="H27">
        <f>IF(H26&gt;Summary!$V$4,0,H26+F26)</f>
        <v>9580</v>
      </c>
      <c r="I27" s="26">
        <f>DATE(YEAR(Summary!$V$2),MONTH(Summary!$V$2),DAY(Summary!$V$2)+INT(H27/480))</f>
        <v>43609</v>
      </c>
      <c r="J27" s="27">
        <f t="shared" si="1"/>
        <v>0.65277777777777779</v>
      </c>
    </row>
    <row r="28" spans="1:10">
      <c r="A28" t="str">
        <f>VLOOKUP(Summary!M27,Summary!$P$13:$Q$24,2)</f>
        <v>B1200-plum</v>
      </c>
      <c r="B28">
        <f>ROUND(NORMINV(Summary!M29,VLOOKUP(A28,Summary!$Q$13:$S$24,3,FALSE),VLOOKUP(A28,Summary!$Q$13:$S$24,3,FALSE)/6),-1)</f>
        <v>430</v>
      </c>
      <c r="C28" t="str">
        <f>IF(AND(H28=0,C27=Summary!$P$2),Summary!$Q$2,IF(AND(H28=0,C27=Summary!$Q$2),Summary!$R$2,C27))</f>
        <v>Neesha</v>
      </c>
      <c r="D28" t="str">
        <f>IF(C28=Summary!$P$26,VLOOKUP(Summary!M35,Summary!$Q$26:$R$27,2),IF('Run Data'!C28=Summary!$P$28,VLOOKUP(Summary!M35,Summary!$Q$28:$R$29,2),VLOOKUP(Summary!M35,Summary!$Q$30:$R$32,2)))</f>
        <v>Sprig 1</v>
      </c>
      <c r="E28" t="str">
        <f>VLOOKUP(Summary!M38,Summary!$P$42:$Q$43,2)</f>
        <v>86</v>
      </c>
      <c r="F28">
        <f>IF(LEFT(A28,3)="B60",20,IF(LEFT(A28,3)="B12",30,25))+B28*0.5+INT(Summary!M41*20)</f>
        <v>249</v>
      </c>
      <c r="G28">
        <f>ROUND(IF(OR(ISERROR(FIND(Summary!$P$89,CONCATENATE(C28,D28,E28))),ISERROR(FIND(Summary!$Q$89,A28))),Summary!$R$45,IF(H28&gt;Summary!$V$3,Summary!$R$46,Summary!$R$45))*(B28+30),0)</f>
        <v>5</v>
      </c>
      <c r="H28">
        <f>IF(H27&gt;Summary!$V$4,0,H27+F27)</f>
        <v>9940</v>
      </c>
      <c r="I28" s="26">
        <f>DATE(YEAR(Summary!$V$2),MONTH(Summary!$V$2),DAY(Summary!$V$2)+INT(H28/480))</f>
        <v>43610</v>
      </c>
      <c r="J28" s="27">
        <f t="shared" si="1"/>
        <v>0.56944444444444442</v>
      </c>
    </row>
    <row r="29" spans="1:10">
      <c r="A29" t="str">
        <f>VLOOKUP(Summary!M28,Summary!$P$13:$Q$24,2)</f>
        <v>B600-sky</v>
      </c>
      <c r="B29">
        <f>ROUND(NORMINV(Summary!M30,VLOOKUP(A29,Summary!$Q$13:$S$24,3,FALSE),VLOOKUP(A29,Summary!$Q$13:$S$24,3,FALSE)/6),-1)</f>
        <v>390</v>
      </c>
      <c r="C29" t="str">
        <f>IF(AND(H29=0,C28=Summary!$P$2),Summary!$Q$2,IF(AND(H29=0,C28=Summary!$Q$2),Summary!$R$2,C28))</f>
        <v>Neesha</v>
      </c>
      <c r="D29" t="str">
        <f>IF(C29=Summary!$P$26,VLOOKUP(Summary!M36,Summary!$Q$26:$R$27,2),IF('Run Data'!C29=Summary!$P$28,VLOOKUP(Summary!M36,Summary!$Q$28:$R$29,2),VLOOKUP(Summary!M36,Summary!$Q$30:$R$32,2)))</f>
        <v>Sprig 4</v>
      </c>
      <c r="E29" t="str">
        <f>VLOOKUP(Summary!M39,Summary!$P$42:$Q$43,2)</f>
        <v>86</v>
      </c>
      <c r="F29">
        <f>IF(LEFT(A29,3)="B60",20,IF(LEFT(A29,3)="B12",30,25))+B29*0.5+INT(Summary!M42*20)</f>
        <v>220</v>
      </c>
      <c r="G29">
        <f>ROUND(IF(OR(ISERROR(FIND(Summary!$P$89,CONCATENATE(C29,D29,E29))),ISERROR(FIND(Summary!$Q$89,A29))),Summary!$R$45,IF(H29&gt;Summary!$V$3,Summary!$R$46,Summary!$R$45))*(B29+30),0)</f>
        <v>4</v>
      </c>
      <c r="H29">
        <f>IF(H28&gt;Summary!$V$4,0,H28+F28)</f>
        <v>10189</v>
      </c>
      <c r="I29" s="26">
        <f>DATE(YEAR(Summary!$V$2),MONTH(Summary!$V$2),DAY(Summary!$V$2)+INT(H29/480))</f>
        <v>43611</v>
      </c>
      <c r="J29" s="27">
        <f t="shared" si="1"/>
        <v>0.40902777777777777</v>
      </c>
    </row>
    <row r="30" spans="1:10">
      <c r="A30" t="str">
        <f>VLOOKUP(Summary!M29,Summary!$P$13:$Q$24,2)</f>
        <v>B1200-sky</v>
      </c>
      <c r="B30">
        <f>ROUND(NORMINV(Summary!M31,VLOOKUP(A30,Summary!$Q$13:$S$24,3,FALSE),VLOOKUP(A30,Summary!$Q$13:$S$24,3,FALSE)/6),-1)</f>
        <v>1510</v>
      </c>
      <c r="C30" t="str">
        <f>IF(AND(H30=0,C29=Summary!$P$2),Summary!$Q$2,IF(AND(H30=0,C29=Summary!$Q$2),Summary!$R$2,C29))</f>
        <v>Neesha</v>
      </c>
      <c r="D30" t="str">
        <f>IF(C30=Summary!$P$26,VLOOKUP(Summary!M37,Summary!$Q$26:$R$27,2),IF('Run Data'!C30=Summary!$P$28,VLOOKUP(Summary!M37,Summary!$Q$28:$R$29,2),VLOOKUP(Summary!M37,Summary!$Q$30:$R$32,2)))</f>
        <v>Sprig 1</v>
      </c>
      <c r="E30" t="str">
        <f>VLOOKUP(Summary!M40,Summary!$P$42:$Q$43,2)</f>
        <v>86</v>
      </c>
      <c r="F30">
        <f>IF(LEFT(A30,3)="B60",20,IF(LEFT(A30,3)="B12",30,25))+B30*0.5+INT(Summary!M43*20)</f>
        <v>804</v>
      </c>
      <c r="G30">
        <f>ROUND(IF(OR(ISERROR(FIND(Summary!$P$89,CONCATENATE(C30,D30,E30))),ISERROR(FIND(Summary!$Q$89,A30))),Summary!$R$45,IF(H30&gt;Summary!$V$3,Summary!$R$46,Summary!$R$45))*(B30+30),0)</f>
        <v>15</v>
      </c>
      <c r="H30">
        <f>IF(H29&gt;Summary!$V$4,0,H29+F29)</f>
        <v>10409</v>
      </c>
      <c r="I30" s="26">
        <f>DATE(YEAR(Summary!$V$2),MONTH(Summary!$V$2),DAY(Summary!$V$2)+INT(H30/480))</f>
        <v>43611</v>
      </c>
      <c r="J30" s="27">
        <f t="shared" si="1"/>
        <v>0.56180555555555556</v>
      </c>
    </row>
    <row r="31" spans="1:10">
      <c r="A31" t="str">
        <f>VLOOKUP(Summary!M30,Summary!$P$13:$Q$24,2)</f>
        <v>B600-sky</v>
      </c>
      <c r="B31">
        <f>ROUND(NORMINV(Summary!M32,VLOOKUP(A31,Summary!$Q$13:$S$24,3,FALSE),VLOOKUP(A31,Summary!$Q$13:$S$24,3,FALSE)/6),-1)</f>
        <v>550</v>
      </c>
      <c r="C31" t="str">
        <f>IF(AND(H31=0,C30=Summary!$P$2),Summary!$Q$2,IF(AND(H31=0,C30=Summary!$Q$2),Summary!$R$2,C30))</f>
        <v>Neesha</v>
      </c>
      <c r="D31" t="str">
        <f>IF(C31=Summary!$P$26,VLOOKUP(Summary!M38,Summary!$Q$26:$R$27,2),IF('Run Data'!C31=Summary!$P$28,VLOOKUP(Summary!M38,Summary!$Q$28:$R$29,2),VLOOKUP(Summary!M38,Summary!$Q$30:$R$32,2)))</f>
        <v>Sprig 1</v>
      </c>
      <c r="E31" t="str">
        <f>VLOOKUP(Summary!M41,Summary!$P$42:$Q$43,2)</f>
        <v>86</v>
      </c>
      <c r="F31">
        <f>IF(LEFT(A31,3)="B60",20,IF(LEFT(A31,3)="B12",30,25))+B31*0.5+INT(Summary!M44*20)</f>
        <v>309</v>
      </c>
      <c r="G31">
        <f>ROUND(IF(OR(ISERROR(FIND(Summary!$P$89,CONCATENATE(C31,D31,E31))),ISERROR(FIND(Summary!$Q$89,A31))),Summary!$R$45,IF(H31&gt;Summary!$V$3,Summary!$R$46,Summary!$R$45))*(B31+30),0)</f>
        <v>6</v>
      </c>
      <c r="H31">
        <f>IF(H30&gt;Summary!$V$4,0,H30+F30)</f>
        <v>11213</v>
      </c>
      <c r="I31" s="26">
        <f>DATE(YEAR(Summary!$V$2),MONTH(Summary!$V$2),DAY(Summary!$V$2)+INT(H31/480))</f>
        <v>43613</v>
      </c>
      <c r="J31" s="27">
        <f t="shared" si="1"/>
        <v>0.45347222222222222</v>
      </c>
    </row>
    <row r="32" spans="1:10">
      <c r="A32" t="str">
        <f>VLOOKUP(Summary!M31,Summary!$P$13:$Q$24,2)</f>
        <v>B1700-lime</v>
      </c>
      <c r="B32">
        <f>ROUND(NORMINV(Summary!M33,VLOOKUP(A32,Summary!$Q$13:$S$24,3,FALSE),VLOOKUP(A32,Summary!$Q$13:$S$24,3,FALSE)/6),-1)</f>
        <v>420</v>
      </c>
      <c r="C32" t="str">
        <f>IF(AND(H32=0,C31=Summary!$P$2),Summary!$Q$2,IF(AND(H32=0,C31=Summary!$Q$2),Summary!$R$2,C31))</f>
        <v>Neesha</v>
      </c>
      <c r="D32" t="str">
        <f>IF(C32=Summary!$P$26,VLOOKUP(Summary!M39,Summary!$Q$26:$R$27,2),IF('Run Data'!C32=Summary!$P$28,VLOOKUP(Summary!M39,Summary!$Q$28:$R$29,2),VLOOKUP(Summary!M39,Summary!$Q$30:$R$32,2)))</f>
        <v>Sprig 1</v>
      </c>
      <c r="E32" t="str">
        <f>VLOOKUP(Summary!M42,Summary!$P$42:$Q$43,2)</f>
        <v>86</v>
      </c>
      <c r="F32">
        <f>IF(LEFT(A32,3)="B60",20,IF(LEFT(A32,3)="B12",30,25))+B32*0.5+INT(Summary!M45*20)</f>
        <v>245</v>
      </c>
      <c r="G32">
        <f>ROUND(IF(OR(ISERROR(FIND(Summary!$P$89,CONCATENATE(C32,D32,E32))),ISERROR(FIND(Summary!$Q$89,A32))),Summary!$R$45,IF(H32&gt;Summary!$V$3,Summary!$R$46,Summary!$R$45))*(B32+30),0)</f>
        <v>5</v>
      </c>
      <c r="H32">
        <f>IF(H31&gt;Summary!$V$4,0,H31+F31)</f>
        <v>11522</v>
      </c>
      <c r="I32" s="26">
        <f>DATE(YEAR(Summary!$V$2),MONTH(Summary!$V$2),DAY(Summary!$V$2)+INT(H32/480))</f>
        <v>43614</v>
      </c>
      <c r="J32" s="27">
        <f t="shared" si="1"/>
        <v>0.3347222222222222</v>
      </c>
    </row>
    <row r="33" spans="1:10">
      <c r="A33" t="str">
        <f>VLOOKUP(Summary!M32,Summary!$P$13:$Q$24,2)</f>
        <v>B1700-plum</v>
      </c>
      <c r="B33">
        <f>ROUND(NORMINV(Summary!M34,VLOOKUP(A33,Summary!$Q$13:$S$24,3,FALSE),VLOOKUP(A33,Summary!$Q$13:$S$24,3,FALSE)/6),-1)</f>
        <v>390</v>
      </c>
      <c r="C33" t="str">
        <f>IF(AND(H33=0,C32=Summary!$P$2),Summary!$Q$2,IF(AND(H33=0,C32=Summary!$Q$2),Summary!$R$2,C32))</f>
        <v>Neesha</v>
      </c>
      <c r="D33" t="str">
        <f>IF(C33=Summary!$P$26,VLOOKUP(Summary!M40,Summary!$Q$26:$R$27,2),IF('Run Data'!C33=Summary!$P$28,VLOOKUP(Summary!M40,Summary!$Q$28:$R$29,2),VLOOKUP(Summary!M40,Summary!$Q$30:$R$32,2)))</f>
        <v>Sprig 4</v>
      </c>
      <c r="E33" t="str">
        <f>VLOOKUP(Summary!M43,Summary!$P$42:$Q$43,2)</f>
        <v>87b</v>
      </c>
      <c r="F33">
        <f>IF(LEFT(A33,3)="B60",20,IF(LEFT(A33,3)="B12",30,25))+B33*0.5+INT(Summary!M46*20)</f>
        <v>221</v>
      </c>
      <c r="G33">
        <f>ROUND(IF(OR(ISERROR(FIND(Summary!$P$89,CONCATENATE(C33,D33,E33))),ISERROR(FIND(Summary!$Q$89,A33))),Summary!$R$45,IF(H33&gt;Summary!$V$3,Summary!$R$46,Summary!$R$45))*(B33+30),0)</f>
        <v>4</v>
      </c>
      <c r="H33">
        <f>IF(H32&gt;Summary!$V$4,0,H32+F32)</f>
        <v>11767</v>
      </c>
      <c r="I33" s="26">
        <f>DATE(YEAR(Summary!$V$2),MONTH(Summary!$V$2),DAY(Summary!$V$2)+INT(H33/480))</f>
        <v>43614</v>
      </c>
      <c r="J33" s="27">
        <f t="shared" si="1"/>
        <v>0.50486111111111109</v>
      </c>
    </row>
    <row r="34" spans="1:10">
      <c r="A34" t="str">
        <f>VLOOKUP(Summary!M33,Summary!$P$13:$Q$24,2)</f>
        <v>B1200-lime</v>
      </c>
      <c r="B34">
        <f>ROUND(NORMINV(Summary!M35,VLOOKUP(A34,Summary!$Q$13:$S$24,3,FALSE),VLOOKUP(A34,Summary!$Q$13:$S$24,3,FALSE)/6),-1)</f>
        <v>830</v>
      </c>
      <c r="C34" t="str">
        <f>IF(AND(H34=0,C33=Summary!$P$2),Summary!$Q$2,IF(AND(H34=0,C33=Summary!$Q$2),Summary!$R$2,C33))</f>
        <v>Neesha</v>
      </c>
      <c r="D34" t="str">
        <f>IF(C34=Summary!$P$26,VLOOKUP(Summary!M41,Summary!$Q$26:$R$27,2),IF('Run Data'!C34=Summary!$P$28,VLOOKUP(Summary!M41,Summary!$Q$28:$R$29,2),VLOOKUP(Summary!M41,Summary!$Q$30:$R$32,2)))</f>
        <v>Sprig 1</v>
      </c>
      <c r="E34" t="str">
        <f>VLOOKUP(Summary!M44,Summary!$P$42:$Q$43,2)</f>
        <v>86</v>
      </c>
      <c r="F34">
        <f>IF(LEFT(A34,3)="B60",20,IF(LEFT(A34,3)="B12",30,25))+B34*0.5+INT(Summary!M47*20)</f>
        <v>459</v>
      </c>
      <c r="G34">
        <f>ROUND(IF(OR(ISERROR(FIND(Summary!$P$89,CONCATENATE(C34,D34,E34))),ISERROR(FIND(Summary!$Q$89,A34))),Summary!$R$45,IF(H34&gt;Summary!$V$3,Summary!$R$46,Summary!$R$45))*(B34+30),0)</f>
        <v>9</v>
      </c>
      <c r="H34">
        <f>IF(H33&gt;Summary!$V$4,0,H33+F33)</f>
        <v>11988</v>
      </c>
      <c r="I34" s="26">
        <f>DATE(YEAR(Summary!$V$2),MONTH(Summary!$V$2),DAY(Summary!$V$2)+INT(H34/480))</f>
        <v>43614</v>
      </c>
      <c r="J34" s="27">
        <f t="shared" si="1"/>
        <v>0.65833333333333333</v>
      </c>
    </row>
    <row r="35" spans="1:10">
      <c r="A35" t="str">
        <f>VLOOKUP(Summary!M34,Summary!$P$13:$Q$24,2)</f>
        <v>B1700-lime</v>
      </c>
      <c r="B35">
        <f>ROUND(NORMINV(Summary!M36,VLOOKUP(A35,Summary!$Q$13:$S$24,3,FALSE),VLOOKUP(A35,Summary!$Q$13:$S$24,3,FALSE)/6),-1)</f>
        <v>510</v>
      </c>
      <c r="C35" t="str">
        <f>IF(AND(H35=0,C34=Summary!$P$2),Summary!$Q$2,IF(AND(H35=0,C34=Summary!$Q$2),Summary!$R$2,C34))</f>
        <v>Neesha</v>
      </c>
      <c r="D35" t="str">
        <f>IF(C35=Summary!$P$26,VLOOKUP(Summary!M42,Summary!$Q$26:$R$27,2),IF('Run Data'!C35=Summary!$P$28,VLOOKUP(Summary!M42,Summary!$Q$28:$R$29,2),VLOOKUP(Summary!M42,Summary!$Q$30:$R$32,2)))</f>
        <v>Sprig 1</v>
      </c>
      <c r="E35" t="str">
        <f>VLOOKUP(Summary!M45,Summary!$P$42:$Q$43,2)</f>
        <v>86</v>
      </c>
      <c r="F35">
        <f>IF(LEFT(A35,3)="B60",20,IF(LEFT(A35,3)="B12",30,25))+B35*0.5+INT(Summary!M48*20)</f>
        <v>280</v>
      </c>
      <c r="G35">
        <f>ROUND(IF(OR(ISERROR(FIND(Summary!$P$89,CONCATENATE(C35,D35,E35))),ISERROR(FIND(Summary!$Q$89,A35))),Summary!$R$45,IF(H35&gt;Summary!$V$3,Summary!$R$46,Summary!$R$45))*(B35+30),0)</f>
        <v>5</v>
      </c>
      <c r="H35">
        <f>IF(H34&gt;Summary!$V$4,0,H34+F34)</f>
        <v>12447</v>
      </c>
      <c r="I35" s="26">
        <f>DATE(YEAR(Summary!$V$2),MONTH(Summary!$V$2),DAY(Summary!$V$2)+INT(H35/480))</f>
        <v>43615</v>
      </c>
      <c r="J35" s="27">
        <f t="shared" si="1"/>
        <v>0.64374999999999993</v>
      </c>
    </row>
    <row r="36" spans="1:10">
      <c r="A36" t="str">
        <f>VLOOKUP(Summary!M35,Summary!$P$13:$Q$24,2)</f>
        <v>B1200-lime</v>
      </c>
      <c r="B36">
        <f>ROUND(NORMINV(Summary!M37,VLOOKUP(A36,Summary!$Q$13:$S$24,3,FALSE),VLOOKUP(A36,Summary!$Q$13:$S$24,3,FALSE)/6),-1)</f>
        <v>840</v>
      </c>
      <c r="C36" t="str">
        <f>IF(AND(H36=0,C35=Summary!$P$2),Summary!$Q$2,IF(AND(H36=0,C35=Summary!$Q$2),Summary!$R$2,C35))</f>
        <v>Neesha</v>
      </c>
      <c r="D36" t="str">
        <f>IF(C36=Summary!$P$26,VLOOKUP(Summary!M43,Summary!$Q$26:$R$27,2),IF('Run Data'!C36=Summary!$P$28,VLOOKUP(Summary!M43,Summary!$Q$28:$R$29,2),VLOOKUP(Summary!M43,Summary!$Q$30:$R$32,2)))</f>
        <v>Sprig 4</v>
      </c>
      <c r="E36" t="str">
        <f>VLOOKUP(Summary!M46,Summary!$P$42:$Q$43,2)</f>
        <v>86</v>
      </c>
      <c r="F36">
        <f>IF(LEFT(A36,3)="B60",20,IF(LEFT(A36,3)="B12",30,25))+B36*0.5+INT(Summary!M49*20)</f>
        <v>457</v>
      </c>
      <c r="G36">
        <f>ROUND(IF(OR(ISERROR(FIND(Summary!$P$89,CONCATENATE(C36,D36,E36))),ISERROR(FIND(Summary!$Q$89,A36))),Summary!$R$45,IF(H36&gt;Summary!$V$3,Summary!$R$46,Summary!$R$45))*(B36+30),0)</f>
        <v>9</v>
      </c>
      <c r="H36">
        <f>IF(H35&gt;Summary!$V$4,0,H35+F35)</f>
        <v>12727</v>
      </c>
      <c r="I36" s="26">
        <f>DATE(YEAR(Summary!$V$2),MONTH(Summary!$V$2),DAY(Summary!$V$2)+INT(H36/480))</f>
        <v>43616</v>
      </c>
      <c r="J36" s="27">
        <f t="shared" si="1"/>
        <v>0.50486111111111109</v>
      </c>
    </row>
    <row r="37" spans="1:10">
      <c r="A37" t="str">
        <f>VLOOKUP(Summary!M36,Summary!$P$13:$Q$24,2)</f>
        <v>B1700-lime</v>
      </c>
      <c r="B37">
        <f>ROUND(NORMINV(Summary!M38,VLOOKUP(A37,Summary!$Q$13:$S$24,3,FALSE),VLOOKUP(A37,Summary!$Q$13:$S$24,3,FALSE)/6),-1)</f>
        <v>330</v>
      </c>
      <c r="C37" t="str">
        <f>IF(AND(H37=0,C36=Summary!$P$2),Summary!$Q$2,IF(AND(H37=0,C36=Summary!$Q$2),Summary!$R$2,C36))</f>
        <v>Neesha</v>
      </c>
      <c r="D37" t="str">
        <f>IF(C37=Summary!$P$26,VLOOKUP(Summary!M44,Summary!$Q$26:$R$27,2),IF('Run Data'!C37=Summary!$P$28,VLOOKUP(Summary!M44,Summary!$Q$28:$R$29,2),VLOOKUP(Summary!M44,Summary!$Q$30:$R$32,2)))</f>
        <v>Sprig 1</v>
      </c>
      <c r="E37" t="str">
        <f>VLOOKUP(Summary!M47,Summary!$P$42:$Q$43,2)</f>
        <v>86</v>
      </c>
      <c r="F37">
        <f>IF(LEFT(A37,3)="B60",20,IF(LEFT(A37,3)="B12",30,25))+B37*0.5+INT(Summary!M50*20)</f>
        <v>195</v>
      </c>
      <c r="G37">
        <f>ROUND(IF(OR(ISERROR(FIND(Summary!$P$89,CONCATENATE(C37,D37,E37))),ISERROR(FIND(Summary!$Q$89,A37))),Summary!$R$45,IF(H37&gt;Summary!$V$3,Summary!$R$46,Summary!$R$45))*(B37+30),0)</f>
        <v>4</v>
      </c>
      <c r="H37">
        <f>IF(H36&gt;Summary!$V$4,0,H36+F36)</f>
        <v>13184</v>
      </c>
      <c r="I37" s="26">
        <f>DATE(YEAR(Summary!$V$2),MONTH(Summary!$V$2),DAY(Summary!$V$2)+INT(H37/480))</f>
        <v>43617</v>
      </c>
      <c r="J37" s="27">
        <f t="shared" si="1"/>
        <v>0.48888888888888887</v>
      </c>
    </row>
    <row r="38" spans="1:10">
      <c r="A38" t="str">
        <f>VLOOKUP(Summary!M37,Summary!$P$13:$Q$24,2)</f>
        <v>B1200-lime</v>
      </c>
      <c r="B38">
        <f>ROUND(NORMINV(Summary!M39,VLOOKUP(A38,Summary!$Q$13:$S$24,3,FALSE),VLOOKUP(A38,Summary!$Q$13:$S$24,3,FALSE)/6),-1)</f>
        <v>660</v>
      </c>
      <c r="C38" t="str">
        <f>IF(AND(H38=0,C37=Summary!$P$2),Summary!$Q$2,IF(AND(H38=0,C37=Summary!$Q$2),Summary!$R$2,C37))</f>
        <v>Neesha</v>
      </c>
      <c r="D38" t="str">
        <f>IF(C38=Summary!$P$26,VLOOKUP(Summary!M45,Summary!$Q$26:$R$27,2),IF('Run Data'!C38=Summary!$P$28,VLOOKUP(Summary!M45,Summary!$Q$28:$R$29,2),VLOOKUP(Summary!M45,Summary!$Q$30:$R$32,2)))</f>
        <v>Sprig 1</v>
      </c>
      <c r="E38" t="str">
        <f>VLOOKUP(Summary!M48,Summary!$P$42:$Q$43,2)</f>
        <v>86</v>
      </c>
      <c r="F38">
        <f>IF(LEFT(A38,3)="B60",20,IF(LEFT(A38,3)="B12",30,25))+B38*0.5+INT(Summary!M51*20)</f>
        <v>378</v>
      </c>
      <c r="G38">
        <f>ROUND(IF(OR(ISERROR(FIND(Summary!$P$89,CONCATENATE(C38,D38,E38))),ISERROR(FIND(Summary!$Q$89,A38))),Summary!$R$45,IF(H38&gt;Summary!$V$3,Summary!$R$46,Summary!$R$45))*(B38+30),0)</f>
        <v>7</v>
      </c>
      <c r="H38">
        <f>IF(H37&gt;Summary!$V$4,0,H37+F37)</f>
        <v>13379</v>
      </c>
      <c r="I38" s="26">
        <f>DATE(YEAR(Summary!$V$2),MONTH(Summary!$V$2),DAY(Summary!$V$2)+INT(H38/480))</f>
        <v>43617</v>
      </c>
      <c r="J38" s="27">
        <f t="shared" si="1"/>
        <v>0.62430555555555556</v>
      </c>
    </row>
    <row r="39" spans="1:10">
      <c r="A39" t="str">
        <f>VLOOKUP(Summary!M38,Summary!$P$13:$Q$24,2)</f>
        <v>B600-fire</v>
      </c>
      <c r="B39">
        <f>ROUND(NORMINV(Summary!M40,VLOOKUP(A39,Summary!$Q$13:$S$24,3,FALSE),VLOOKUP(A39,Summary!$Q$13:$S$24,3,FALSE)/6),-1)</f>
        <v>450</v>
      </c>
      <c r="C39" t="str">
        <f>IF(AND(H39=0,C38=Summary!$P$2),Summary!$Q$2,IF(AND(H39=0,C38=Summary!$Q$2),Summary!$R$2,C38))</f>
        <v>Neesha</v>
      </c>
      <c r="D39" t="str">
        <f>IF(C39=Summary!$P$26,VLOOKUP(Summary!M46,Summary!$Q$26:$R$27,2),IF('Run Data'!C39=Summary!$P$28,VLOOKUP(Summary!M46,Summary!$Q$28:$R$29,2),VLOOKUP(Summary!M46,Summary!$Q$30:$R$32,2)))</f>
        <v>Sprig 1</v>
      </c>
      <c r="E39" t="str">
        <f>VLOOKUP(Summary!M49,Summary!$P$42:$Q$43,2)</f>
        <v>86</v>
      </c>
      <c r="F39">
        <f>IF(LEFT(A39,3)="B60",20,IF(LEFT(A39,3)="B12",30,25))+B39*0.5+INT(Summary!M52*20)</f>
        <v>259</v>
      </c>
      <c r="G39">
        <f>ROUND(IF(OR(ISERROR(FIND(Summary!$P$89,CONCATENATE(C39,D39,E39))),ISERROR(FIND(Summary!$Q$89,A39))),Summary!$R$45,IF(H39&gt;Summary!$V$3,Summary!$R$46,Summary!$R$45))*(B39+30),0)</f>
        <v>5</v>
      </c>
      <c r="H39">
        <f>IF(H38&gt;Summary!$V$4,0,H38+F38)</f>
        <v>13757</v>
      </c>
      <c r="I39" s="26">
        <f>DATE(YEAR(Summary!$V$2),MONTH(Summary!$V$2),DAY(Summary!$V$2)+INT(H39/480))</f>
        <v>43618</v>
      </c>
      <c r="J39" s="27">
        <f t="shared" si="1"/>
        <v>0.55347222222222225</v>
      </c>
    </row>
    <row r="40" spans="1:10">
      <c r="A40" t="str">
        <f>VLOOKUP(Summary!M39,Summary!$P$13:$Q$24,2)</f>
        <v>B600-fire</v>
      </c>
      <c r="B40">
        <f>ROUND(NORMINV(Summary!M41,VLOOKUP(A40,Summary!$Q$13:$S$24,3,FALSE),VLOOKUP(A40,Summary!$Q$13:$S$24,3,FALSE)/6),-1)</f>
        <v>350</v>
      </c>
      <c r="C40" t="str">
        <f>IF(AND(H40=0,C39=Summary!$P$2),Summary!$Q$2,IF(AND(H40=0,C39=Summary!$Q$2),Summary!$R$2,C39))</f>
        <v>Neesha</v>
      </c>
      <c r="D40" t="str">
        <f>IF(C40=Summary!$P$26,VLOOKUP(Summary!M47,Summary!$Q$26:$R$27,2),IF('Run Data'!C40=Summary!$P$28,VLOOKUP(Summary!M47,Summary!$Q$28:$R$29,2),VLOOKUP(Summary!M47,Summary!$Q$30:$R$32,2)))</f>
        <v>Sprig 1</v>
      </c>
      <c r="E40" t="str">
        <f>VLOOKUP(Summary!M50,Summary!$P$42:$Q$43,2)</f>
        <v>86</v>
      </c>
      <c r="F40">
        <f>IF(LEFT(A40,3)="B60",20,IF(LEFT(A40,3)="B12",30,25))+B40*0.5+INT(Summary!M53*20)</f>
        <v>197</v>
      </c>
      <c r="G40">
        <f>ROUND(IF(OR(ISERROR(FIND(Summary!$P$89,CONCATENATE(C40,D40,E40))),ISERROR(FIND(Summary!$Q$89,A40))),Summary!$R$45,IF(H40&gt;Summary!$V$3,Summary!$R$46,Summary!$R$45))*(B40+30),0)</f>
        <v>4</v>
      </c>
      <c r="H40">
        <f>IF(H39&gt;Summary!$V$4,0,H39+F39)</f>
        <v>14016</v>
      </c>
      <c r="I40" s="26">
        <f>DATE(YEAR(Summary!$V$2),MONTH(Summary!$V$2),DAY(Summary!$V$2)+INT(H40/480))</f>
        <v>43619</v>
      </c>
      <c r="J40" s="27">
        <f t="shared" si="1"/>
        <v>0.39999999999999997</v>
      </c>
    </row>
    <row r="41" spans="1:10">
      <c r="A41" t="str">
        <f>VLOOKUP(Summary!M40,Summary!$P$13:$Q$24,2)</f>
        <v>B1700-sky</v>
      </c>
      <c r="B41">
        <f>ROUND(NORMINV(Summary!M42,VLOOKUP(A41,Summary!$Q$13:$S$24,3,FALSE),VLOOKUP(A41,Summary!$Q$13:$S$24,3,FALSE)/6),-1)</f>
        <v>500</v>
      </c>
      <c r="C41" t="str">
        <f>IF(AND(H41=0,C40=Summary!$P$2),Summary!$Q$2,IF(AND(H41=0,C40=Summary!$Q$2),Summary!$R$2,C40))</f>
        <v>Neesha</v>
      </c>
      <c r="D41" t="str">
        <f>IF(C41=Summary!$P$26,VLOOKUP(Summary!M48,Summary!$Q$26:$R$27,2),IF('Run Data'!C41=Summary!$P$28,VLOOKUP(Summary!M48,Summary!$Q$28:$R$29,2),VLOOKUP(Summary!M48,Summary!$Q$30:$R$32,2)))</f>
        <v>Sprig 1</v>
      </c>
      <c r="E41" t="str">
        <f>VLOOKUP(Summary!M51,Summary!$P$42:$Q$43,2)</f>
        <v>87b</v>
      </c>
      <c r="F41">
        <f>IF(LEFT(A41,3)="B60",20,IF(LEFT(A41,3)="B12",30,25))+B41*0.5+INT(Summary!M54*20)</f>
        <v>289</v>
      </c>
      <c r="G41">
        <f>ROUND(IF(OR(ISERROR(FIND(Summary!$P$89,CONCATENATE(C41,D41,E41))),ISERROR(FIND(Summary!$Q$89,A41))),Summary!$R$45,IF(H41&gt;Summary!$V$3,Summary!$R$46,Summary!$R$45))*(B41+30),0)</f>
        <v>5</v>
      </c>
      <c r="H41">
        <f>IF(H40&gt;Summary!$V$4,0,H40+F40)</f>
        <v>14213</v>
      </c>
      <c r="I41" s="26">
        <f>DATE(YEAR(Summary!$V$2),MONTH(Summary!$V$2),DAY(Summary!$V$2)+INT(H41/480))</f>
        <v>43619</v>
      </c>
      <c r="J41" s="27">
        <f t="shared" si="1"/>
        <v>0.53680555555555554</v>
      </c>
    </row>
    <row r="42" spans="1:10">
      <c r="A42" t="str">
        <f>VLOOKUP(Summary!M41,Summary!$P$13:$Q$24,2)</f>
        <v>B600-lime</v>
      </c>
      <c r="B42">
        <f>ROUND(NORMINV(Summary!M43,VLOOKUP(A42,Summary!$Q$13:$S$24,3,FALSE),VLOOKUP(A42,Summary!$Q$13:$S$24,3,FALSE)/6),-1)</f>
        <v>390</v>
      </c>
      <c r="C42" t="str">
        <f>IF(AND(H42=0,C41=Summary!$P$2),Summary!$Q$2,IF(AND(H42=0,C41=Summary!$Q$2),Summary!$R$2,C41))</f>
        <v>Neesha</v>
      </c>
      <c r="D42" t="str">
        <f>IF(C42=Summary!$P$26,VLOOKUP(Summary!M49,Summary!$Q$26:$R$27,2),IF('Run Data'!C42=Summary!$P$28,VLOOKUP(Summary!M49,Summary!$Q$28:$R$29,2),VLOOKUP(Summary!M49,Summary!$Q$30:$R$32,2)))</f>
        <v>Sprig 1</v>
      </c>
      <c r="E42" t="str">
        <f>VLOOKUP(Summary!M52,Summary!$P$42:$Q$43,2)</f>
        <v>86</v>
      </c>
      <c r="F42">
        <f>IF(LEFT(A42,3)="B60",20,IF(LEFT(A42,3)="B12",30,25))+B42*0.5+INT(Summary!M55*20)</f>
        <v>224</v>
      </c>
      <c r="G42">
        <f>ROUND(IF(OR(ISERROR(FIND(Summary!$P$89,CONCATENATE(C42,D42,E42))),ISERROR(FIND(Summary!$Q$89,A42))),Summary!$R$45,IF(H42&gt;Summary!$V$3,Summary!$R$46,Summary!$R$45))*(B42+30),0)</f>
        <v>4</v>
      </c>
      <c r="H42">
        <f>IF(H41&gt;Summary!$V$4,0,H41+F41)</f>
        <v>14502</v>
      </c>
      <c r="I42" s="26">
        <f>DATE(YEAR(Summary!$V$2),MONTH(Summary!$V$2),DAY(Summary!$V$2)+INT(H42/480))</f>
        <v>43620</v>
      </c>
      <c r="J42" s="27">
        <f t="shared" si="1"/>
        <v>0.40416666666666662</v>
      </c>
    </row>
    <row r="43" spans="1:10">
      <c r="A43" t="str">
        <f>VLOOKUP(Summary!M42,Summary!$P$13:$Q$24,2)</f>
        <v>B1200-plum</v>
      </c>
      <c r="B43">
        <f>ROUND(NORMINV(Summary!M44,VLOOKUP(A43,Summary!$Q$13:$S$24,3,FALSE),VLOOKUP(A43,Summary!$Q$13:$S$24,3,FALSE)/6),-1)</f>
        <v>500</v>
      </c>
      <c r="C43" t="str">
        <f>IF(AND(H43=0,C42=Summary!$P$2),Summary!$Q$2,IF(AND(H43=0,C42=Summary!$Q$2),Summary!$R$2,C42))</f>
        <v>Neesha</v>
      </c>
      <c r="D43" t="str">
        <f>IF(C43=Summary!$P$26,VLOOKUP(Summary!M50,Summary!$Q$26:$R$27,2),IF('Run Data'!C43=Summary!$P$28,VLOOKUP(Summary!M50,Summary!$Q$28:$R$29,2),VLOOKUP(Summary!M50,Summary!$Q$30:$R$32,2)))</f>
        <v>Sprig 1</v>
      </c>
      <c r="E43" t="str">
        <f>VLOOKUP(Summary!M53,Summary!$P$42:$Q$43,2)</f>
        <v>86</v>
      </c>
      <c r="F43">
        <f>IF(LEFT(A43,3)="B60",20,IF(LEFT(A43,3)="B12",30,25))+B43*0.5+INT(Summary!M56*20)</f>
        <v>283</v>
      </c>
      <c r="G43">
        <f>ROUND(IF(OR(ISERROR(FIND(Summary!$P$89,CONCATENATE(C43,D43,E43))),ISERROR(FIND(Summary!$Q$89,A43))),Summary!$R$45,IF(H43&gt;Summary!$V$3,Summary!$R$46,Summary!$R$45))*(B43+30),0)</f>
        <v>5</v>
      </c>
      <c r="H43">
        <f>IF(H42&gt;Summary!$V$4,0,H42+F42)</f>
        <v>14726</v>
      </c>
      <c r="I43" s="26">
        <f>DATE(YEAR(Summary!$V$2),MONTH(Summary!$V$2),DAY(Summary!$V$2)+INT(H43/480))</f>
        <v>43620</v>
      </c>
      <c r="J43" s="27">
        <f t="shared" si="1"/>
        <v>0.55972222222222223</v>
      </c>
    </row>
    <row r="44" spans="1:10">
      <c r="A44" t="str">
        <f>VLOOKUP(Summary!M43,Summary!$P$13:$Q$24,2)</f>
        <v>B1700-lime</v>
      </c>
      <c r="B44">
        <f>ROUND(NORMINV(Summary!M45,VLOOKUP(A44,Summary!$Q$13:$S$24,3,FALSE),VLOOKUP(A44,Summary!$Q$13:$S$24,3,FALSE)/6),-1)</f>
        <v>400</v>
      </c>
      <c r="C44" t="str">
        <f>IF(AND(H44=0,C43=Summary!$P$2),Summary!$Q$2,IF(AND(H44=0,C43=Summary!$Q$2),Summary!$R$2,C43))</f>
        <v>Neesha</v>
      </c>
      <c r="D44" t="str">
        <f>IF(C44=Summary!$P$26,VLOOKUP(Summary!M51,Summary!$Q$26:$R$27,2),IF('Run Data'!C44=Summary!$P$28,VLOOKUP(Summary!M51,Summary!$Q$28:$R$29,2),VLOOKUP(Summary!M51,Summary!$Q$30:$R$32,2)))</f>
        <v>Sprig 4</v>
      </c>
      <c r="E44" t="str">
        <f>VLOOKUP(Summary!M54,Summary!$P$42:$Q$43,2)</f>
        <v>86</v>
      </c>
      <c r="F44">
        <f>IF(LEFT(A44,3)="B60",20,IF(LEFT(A44,3)="B12",30,25))+B44*0.5+INT(Summary!M57*20)</f>
        <v>239</v>
      </c>
      <c r="G44">
        <f>ROUND(IF(OR(ISERROR(FIND(Summary!$P$89,CONCATENATE(C44,D44,E44))),ISERROR(FIND(Summary!$Q$89,A44))),Summary!$R$45,IF(H44&gt;Summary!$V$3,Summary!$R$46,Summary!$R$45))*(B44+30),0)</f>
        <v>4</v>
      </c>
      <c r="H44">
        <f>IF(H43&gt;Summary!$V$4,0,H43+F43)</f>
        <v>15009</v>
      </c>
      <c r="I44" s="26">
        <f>DATE(YEAR(Summary!$V$2),MONTH(Summary!$V$2),DAY(Summary!$V$2)+INT(H44/480))</f>
        <v>43621</v>
      </c>
      <c r="J44" s="27">
        <f t="shared" si="1"/>
        <v>0.42291666666666666</v>
      </c>
    </row>
    <row r="45" spans="1:10">
      <c r="A45" t="str">
        <f>VLOOKUP(Summary!M44,Summary!$P$13:$Q$24,2)</f>
        <v>B1700-plum</v>
      </c>
      <c r="B45">
        <f>ROUND(NORMINV(Summary!M46,VLOOKUP(A45,Summary!$Q$13:$S$24,3,FALSE),VLOOKUP(A45,Summary!$Q$13:$S$24,3,FALSE)/6),-1)</f>
        <v>220</v>
      </c>
      <c r="C45" t="str">
        <f>IF(AND(H45=0,C44=Summary!$P$2),Summary!$Q$2,IF(AND(H45=0,C44=Summary!$Q$2),Summary!$R$2,C44))</f>
        <v>Neesha</v>
      </c>
      <c r="D45" t="str">
        <f>IF(C45=Summary!$P$26,VLOOKUP(Summary!M52,Summary!$Q$26:$R$27,2),IF('Run Data'!C45=Summary!$P$28,VLOOKUP(Summary!M52,Summary!$Q$28:$R$29,2),VLOOKUP(Summary!M52,Summary!$Q$30:$R$32,2)))</f>
        <v>Sprig 1</v>
      </c>
      <c r="E45" t="str">
        <f>VLOOKUP(Summary!M55,Summary!$P$42:$Q$43,2)</f>
        <v>86</v>
      </c>
      <c r="F45">
        <f>IF(LEFT(A45,3)="B60",20,IF(LEFT(A45,3)="B12",30,25))+B45*0.5+INT(Summary!M58*20)</f>
        <v>147</v>
      </c>
      <c r="G45">
        <f>ROUND(IF(OR(ISERROR(FIND(Summary!$P$89,CONCATENATE(C45,D45,E45))),ISERROR(FIND(Summary!$Q$89,A45))),Summary!$R$45,IF(H45&gt;Summary!$V$3,Summary!$R$46,Summary!$R$45))*(B45+30),0)</f>
        <v>3</v>
      </c>
      <c r="H45">
        <f>IF(H44&gt;Summary!$V$4,0,H44+F44)</f>
        <v>15248</v>
      </c>
      <c r="I45" s="26">
        <f>DATE(YEAR(Summary!$V$2),MONTH(Summary!$V$2),DAY(Summary!$V$2)+INT(H45/480))</f>
        <v>43621</v>
      </c>
      <c r="J45" s="27">
        <f t="shared" si="1"/>
        <v>0.58888888888888891</v>
      </c>
    </row>
    <row r="46" spans="1:10">
      <c r="A46" t="str">
        <f>VLOOKUP(Summary!M45,Summary!$P$13:$Q$24,2)</f>
        <v>B1200-fire</v>
      </c>
      <c r="B46">
        <f>ROUND(NORMINV(Summary!M47,VLOOKUP(A46,Summary!$Q$13:$S$24,3,FALSE),VLOOKUP(A46,Summary!$Q$13:$S$24,3,FALSE)/6),-1)</f>
        <v>1330</v>
      </c>
      <c r="C46" t="str">
        <f>IF(AND(H46=0,C45=Summary!$P$2),Summary!$Q$2,IF(AND(H46=0,C45=Summary!$Q$2),Summary!$R$2,C45))</f>
        <v>Neesha</v>
      </c>
      <c r="D46" t="str">
        <f>IF(C46=Summary!$P$26,VLOOKUP(Summary!M53,Summary!$Q$26:$R$27,2),IF('Run Data'!C46=Summary!$P$28,VLOOKUP(Summary!M53,Summary!$Q$28:$R$29,2),VLOOKUP(Summary!M53,Summary!$Q$30:$R$32,2)))</f>
        <v>Sprig 1</v>
      </c>
      <c r="E46" t="str">
        <f>VLOOKUP(Summary!M56,Summary!$P$42:$Q$43,2)</f>
        <v>86</v>
      </c>
      <c r="F46">
        <f>IF(LEFT(A46,3)="B60",20,IF(LEFT(A46,3)="B12",30,25))+B46*0.5+INT(Summary!M59*20)</f>
        <v>700</v>
      </c>
      <c r="G46">
        <f>ROUND(IF(OR(ISERROR(FIND(Summary!$P$89,CONCATENATE(C46,D46,E46))),ISERROR(FIND(Summary!$Q$89,A46))),Summary!$R$45,IF(H46&gt;Summary!$V$3,Summary!$R$46,Summary!$R$45))*(B46+30),0)</f>
        <v>14</v>
      </c>
      <c r="H46">
        <f>IF(H45&gt;Summary!$V$4,0,H45+F45)</f>
        <v>15395</v>
      </c>
      <c r="I46" s="26">
        <f>DATE(YEAR(Summary!$V$2),MONTH(Summary!$V$2),DAY(Summary!$V$2)+INT(H46/480))</f>
        <v>43622</v>
      </c>
      <c r="J46" s="27">
        <f t="shared" si="1"/>
        <v>0.3576388888888889</v>
      </c>
    </row>
    <row r="47" spans="1:10">
      <c r="A47" t="str">
        <f>VLOOKUP(Summary!M46,Summary!$P$13:$Q$24,2)</f>
        <v>B600-sky</v>
      </c>
      <c r="B47">
        <f>ROUND(NORMINV(Summary!M48,VLOOKUP(A47,Summary!$Q$13:$S$24,3,FALSE),VLOOKUP(A47,Summary!$Q$13:$S$24,3,FALSE)/6),-1)</f>
        <v>350</v>
      </c>
      <c r="C47" t="str">
        <f>IF(AND(H47=0,C46=Summary!$P$2),Summary!$Q$2,IF(AND(H47=0,C46=Summary!$Q$2),Summary!$R$2,C46))</f>
        <v>Neesha</v>
      </c>
      <c r="D47" t="str">
        <f>IF(C47=Summary!$P$26,VLOOKUP(Summary!M54,Summary!$Q$26:$R$27,2),IF('Run Data'!C47=Summary!$P$28,VLOOKUP(Summary!M54,Summary!$Q$28:$R$29,2),VLOOKUP(Summary!M54,Summary!$Q$30:$R$32,2)))</f>
        <v>Sprig 1</v>
      </c>
      <c r="E47" t="str">
        <f>VLOOKUP(Summary!M57,Summary!$P$42:$Q$43,2)</f>
        <v>86</v>
      </c>
      <c r="F47">
        <f>IF(LEFT(A47,3)="B60",20,IF(LEFT(A47,3)="B12",30,25))+B47*0.5+INT(Summary!M60*20)</f>
        <v>206</v>
      </c>
      <c r="G47">
        <f>ROUND(IF(OR(ISERROR(FIND(Summary!$P$89,CONCATENATE(C47,D47,E47))),ISERROR(FIND(Summary!$Q$89,A47))),Summary!$R$45,IF(H47&gt;Summary!$V$3,Summary!$R$46,Summary!$R$45))*(B47+30),0)</f>
        <v>4</v>
      </c>
      <c r="H47">
        <f>IF(H46&gt;Summary!$V$4,0,H46+F46)</f>
        <v>16095</v>
      </c>
      <c r="I47" s="26">
        <f>DATE(YEAR(Summary!$V$2),MONTH(Summary!$V$2),DAY(Summary!$V$2)+INT(H47/480))</f>
        <v>43623</v>
      </c>
      <c r="J47" s="27">
        <f t="shared" si="1"/>
        <v>0.51041666666666663</v>
      </c>
    </row>
    <row r="48" spans="1:10">
      <c r="A48" t="str">
        <f>VLOOKUP(Summary!M47,Summary!$P$13:$Q$24,2)</f>
        <v>B1700-plum</v>
      </c>
      <c r="B48">
        <f>ROUND(NORMINV(Summary!M49,VLOOKUP(A48,Summary!$Q$13:$S$24,3,FALSE),VLOOKUP(A48,Summary!$Q$13:$S$24,3,FALSE)/6),-1)</f>
        <v>290</v>
      </c>
      <c r="C48" t="str">
        <f>IF(AND(H48=0,C47=Summary!$P$2),Summary!$Q$2,IF(AND(H48=0,C47=Summary!$Q$2),Summary!$R$2,C47))</f>
        <v>Neesha</v>
      </c>
      <c r="D48" t="str">
        <f>IF(C48=Summary!$P$26,VLOOKUP(Summary!M55,Summary!$Q$26:$R$27,2),IF('Run Data'!C48=Summary!$P$28,VLOOKUP(Summary!M55,Summary!$Q$28:$R$29,2),VLOOKUP(Summary!M55,Summary!$Q$30:$R$32,2)))</f>
        <v>Sprig 1</v>
      </c>
      <c r="E48" t="str">
        <f>VLOOKUP(Summary!M58,Summary!$P$42:$Q$43,2)</f>
        <v>86</v>
      </c>
      <c r="F48">
        <f>IF(LEFT(A48,3)="B60",20,IF(LEFT(A48,3)="B12",30,25))+B48*0.5+INT(Summary!M61*20)</f>
        <v>174</v>
      </c>
      <c r="G48">
        <f>ROUND(IF(OR(ISERROR(FIND(Summary!$P$89,CONCATENATE(C48,D48,E48))),ISERROR(FIND(Summary!$Q$89,A48))),Summary!$R$45,IF(H48&gt;Summary!$V$3,Summary!$R$46,Summary!$R$45))*(B48+30),0)</f>
        <v>3</v>
      </c>
      <c r="H48">
        <f>IF(H47&gt;Summary!$V$4,0,H47+F47)</f>
        <v>16301</v>
      </c>
      <c r="I48" s="26">
        <f>DATE(YEAR(Summary!$V$2),MONTH(Summary!$V$2),DAY(Summary!$V$2)+INT(H48/480))</f>
        <v>43623</v>
      </c>
      <c r="J48" s="27">
        <f t="shared" si="1"/>
        <v>0.65347222222222223</v>
      </c>
    </row>
    <row r="49" spans="1:10">
      <c r="A49" t="str">
        <f>VLOOKUP(Summary!M48,Summary!$P$13:$Q$24,2)</f>
        <v>B600-plum</v>
      </c>
      <c r="B49">
        <f>ROUND(NORMINV(Summary!M50,VLOOKUP(A49,Summary!$Q$13:$S$24,3,FALSE),VLOOKUP(A49,Summary!$Q$13:$S$24,3,FALSE)/6),-1)</f>
        <v>180</v>
      </c>
      <c r="C49" t="str">
        <f>IF(AND(H49=0,C48=Summary!$P$2),Summary!$Q$2,IF(AND(H49=0,C48=Summary!$Q$2),Summary!$R$2,C48))</f>
        <v>Neesha</v>
      </c>
      <c r="D49" t="str">
        <f>IF(C49=Summary!$P$26,VLOOKUP(Summary!M56,Summary!$Q$26:$R$27,2),IF('Run Data'!C49=Summary!$P$28,VLOOKUP(Summary!M56,Summary!$Q$28:$R$29,2),VLOOKUP(Summary!M56,Summary!$Q$30:$R$32,2)))</f>
        <v>Sprig 1</v>
      </c>
      <c r="E49" t="str">
        <f>VLOOKUP(Summary!M59,Summary!$P$42:$Q$43,2)</f>
        <v>86</v>
      </c>
      <c r="F49">
        <f>IF(LEFT(A49,3)="B60",20,IF(LEFT(A49,3)="B12",30,25))+B49*0.5+INT(Summary!M62*20)</f>
        <v>118</v>
      </c>
      <c r="G49">
        <f>ROUND(IF(OR(ISERROR(FIND(Summary!$P$89,CONCATENATE(C49,D49,E49))),ISERROR(FIND(Summary!$Q$89,A49))),Summary!$R$45,IF(H49&gt;Summary!$V$3,Summary!$R$46,Summary!$R$45))*(B49+30),0)</f>
        <v>2</v>
      </c>
      <c r="H49">
        <f>IF(H48&gt;Summary!$V$4,0,H48+F48)</f>
        <v>16475</v>
      </c>
      <c r="I49" s="26">
        <f>DATE(YEAR(Summary!$V$2),MONTH(Summary!$V$2),DAY(Summary!$V$2)+INT(H49/480))</f>
        <v>43624</v>
      </c>
      <c r="J49" s="27">
        <f t="shared" si="1"/>
        <v>0.44097222222222227</v>
      </c>
    </row>
    <row r="50" spans="1:10">
      <c r="A50" t="str">
        <f>VLOOKUP(Summary!M49,Summary!$P$13:$Q$24,2)</f>
        <v>B1200-sky</v>
      </c>
      <c r="B50">
        <f>ROUND(NORMINV(Summary!M51,VLOOKUP(A50,Summary!$Q$13:$S$24,3,FALSE),VLOOKUP(A50,Summary!$Q$13:$S$24,3,FALSE)/6),-1)</f>
        <v>1480</v>
      </c>
      <c r="C50" t="str">
        <f>IF(AND(H50=0,C49=Summary!$P$2),Summary!$Q$2,IF(AND(H50=0,C49=Summary!$Q$2),Summary!$R$2,C49))</f>
        <v>Neesha</v>
      </c>
      <c r="D50" t="str">
        <f>IF(C50=Summary!$P$26,VLOOKUP(Summary!M57,Summary!$Q$26:$R$27,2),IF('Run Data'!C50=Summary!$P$28,VLOOKUP(Summary!M57,Summary!$Q$28:$R$29,2),VLOOKUP(Summary!M57,Summary!$Q$30:$R$32,2)))</f>
        <v>Sprig 1</v>
      </c>
      <c r="E50" t="str">
        <f>VLOOKUP(Summary!M60,Summary!$P$42:$Q$43,2)</f>
        <v>86</v>
      </c>
      <c r="F50">
        <f>IF(LEFT(A50,3)="B60",20,IF(LEFT(A50,3)="B12",30,25))+B50*0.5+INT(Summary!M63*20)</f>
        <v>782</v>
      </c>
      <c r="G50">
        <f>ROUND(IF(OR(ISERROR(FIND(Summary!$P$89,CONCATENATE(C50,D50,E50))),ISERROR(FIND(Summary!$Q$89,A50))),Summary!$R$45,IF(H50&gt;Summary!$V$3,Summary!$R$46,Summary!$R$45))*(B50+30),0)</f>
        <v>15</v>
      </c>
      <c r="H50">
        <f>IF(H49&gt;Summary!$V$4,0,H49+F49)</f>
        <v>16593</v>
      </c>
      <c r="I50" s="26">
        <f>DATE(YEAR(Summary!$V$2),MONTH(Summary!$V$2),DAY(Summary!$V$2)+INT(H50/480))</f>
        <v>43624</v>
      </c>
      <c r="J50" s="27">
        <f t="shared" si="1"/>
        <v>0.5229166666666667</v>
      </c>
    </row>
    <row r="51" spans="1:10">
      <c r="A51" t="str">
        <f>VLOOKUP(Summary!M50,Summary!$P$13:$Q$24,2)</f>
        <v>B1200-plum</v>
      </c>
      <c r="B51">
        <f>ROUND(NORMINV(Summary!M52,VLOOKUP(A51,Summary!$Q$13:$S$24,3,FALSE),VLOOKUP(A51,Summary!$Q$13:$S$24,3,FALSE)/6),-1)</f>
        <v>490</v>
      </c>
      <c r="C51" t="str">
        <f>IF(AND(H51=0,C50=Summary!$P$2),Summary!$Q$2,IF(AND(H51=0,C50=Summary!$Q$2),Summary!$R$2,C50))</f>
        <v>Neesha</v>
      </c>
      <c r="D51" t="str">
        <f>IF(C51=Summary!$P$26,VLOOKUP(Summary!M58,Summary!$Q$26:$R$27,2),IF('Run Data'!C51=Summary!$P$28,VLOOKUP(Summary!M58,Summary!$Q$28:$R$29,2),VLOOKUP(Summary!M58,Summary!$Q$30:$R$32,2)))</f>
        <v>Sprig 1</v>
      </c>
      <c r="E51" t="str">
        <f>VLOOKUP(Summary!M61,Summary!$P$42:$Q$43,2)</f>
        <v>86</v>
      </c>
      <c r="F51">
        <f>IF(LEFT(A51,3)="B60",20,IF(LEFT(A51,3)="B12",30,25))+B51*0.5+INT(Summary!M64*20)</f>
        <v>286</v>
      </c>
      <c r="G51">
        <f>ROUND(IF(OR(ISERROR(FIND(Summary!$P$89,CONCATENATE(C51,D51,E51))),ISERROR(FIND(Summary!$Q$89,A51))),Summary!$R$45,IF(H51&gt;Summary!$V$3,Summary!$R$46,Summary!$R$45))*(B51+30),0)</f>
        <v>5</v>
      </c>
      <c r="H51">
        <f>IF(H50&gt;Summary!$V$4,0,H50+F50)</f>
        <v>17375</v>
      </c>
      <c r="I51" s="26">
        <f>DATE(YEAR(Summary!$V$2),MONTH(Summary!$V$2),DAY(Summary!$V$2)+INT(H51/480))</f>
        <v>43626</v>
      </c>
      <c r="J51" s="27">
        <f t="shared" si="1"/>
        <v>0.39930555555555558</v>
      </c>
    </row>
    <row r="52" spans="1:10">
      <c r="A52" t="str">
        <f>VLOOKUP(Summary!M51,Summary!$P$13:$Q$24,2)</f>
        <v>B1700-lime</v>
      </c>
      <c r="B52">
        <f>ROUND(NORMINV(Summary!M53,VLOOKUP(A52,Summary!$Q$13:$S$24,3,FALSE),VLOOKUP(A52,Summary!$Q$13:$S$24,3,FALSE)/6),-1)</f>
        <v>320</v>
      </c>
      <c r="C52" t="str">
        <f>IF(AND(H52=0,C51=Summary!$P$2),Summary!$Q$2,IF(AND(H52=0,C51=Summary!$Q$2),Summary!$R$2,C51))</f>
        <v>Neesha</v>
      </c>
      <c r="D52" t="str">
        <f>IF(C52=Summary!$P$26,VLOOKUP(Summary!M59,Summary!$Q$26:$R$27,2),IF('Run Data'!C52=Summary!$P$28,VLOOKUP(Summary!M59,Summary!$Q$28:$R$29,2),VLOOKUP(Summary!M59,Summary!$Q$30:$R$32,2)))</f>
        <v>Sprig 1</v>
      </c>
      <c r="E52" t="str">
        <f>VLOOKUP(Summary!M62,Summary!$P$42:$Q$43,2)</f>
        <v>86</v>
      </c>
      <c r="F52">
        <f>IF(LEFT(A52,3)="B60",20,IF(LEFT(A52,3)="B12",30,25))+B52*0.5+INT(Summary!M65*20)</f>
        <v>193</v>
      </c>
      <c r="G52">
        <f>ROUND(IF(OR(ISERROR(FIND(Summary!$P$89,CONCATENATE(C52,D52,E52))),ISERROR(FIND(Summary!$Q$89,A52))),Summary!$R$45,IF(H52&gt;Summary!$V$3,Summary!$R$46,Summary!$R$45))*(B52+30),0)</f>
        <v>4</v>
      </c>
      <c r="H52">
        <f>IF(H51&gt;Summary!$V$4,0,H51+F51)</f>
        <v>17661</v>
      </c>
      <c r="I52" s="26">
        <f>DATE(YEAR(Summary!$V$2),MONTH(Summary!$V$2),DAY(Summary!$V$2)+INT(H52/480))</f>
        <v>43626</v>
      </c>
      <c r="J52" s="27">
        <f t="shared" si="1"/>
        <v>0.59791666666666665</v>
      </c>
    </row>
    <row r="53" spans="1:10">
      <c r="A53" t="str">
        <f>VLOOKUP(Summary!M52,Summary!$P$13:$Q$24,2)</f>
        <v>B1700-plum</v>
      </c>
      <c r="B53">
        <f>ROUND(NORMINV(Summary!M54,VLOOKUP(A53,Summary!$Q$13:$S$24,3,FALSE),VLOOKUP(A53,Summary!$Q$13:$S$24,3,FALSE)/6),-1)</f>
        <v>330</v>
      </c>
      <c r="C53" t="str">
        <f>IF(AND(H53=0,C52=Summary!$P$2),Summary!$Q$2,IF(AND(H53=0,C52=Summary!$Q$2),Summary!$R$2,C52))</f>
        <v>Neesha</v>
      </c>
      <c r="D53" t="str">
        <f>IF(C53=Summary!$P$26,VLOOKUP(Summary!M60,Summary!$Q$26:$R$27,2),IF('Run Data'!C53=Summary!$P$28,VLOOKUP(Summary!M60,Summary!$Q$28:$R$29,2),VLOOKUP(Summary!M60,Summary!$Q$30:$R$32,2)))</f>
        <v>Sprig 1</v>
      </c>
      <c r="E53" t="str">
        <f>VLOOKUP(Summary!M63,Summary!$P$42:$Q$43,2)</f>
        <v>86</v>
      </c>
      <c r="F53">
        <f>IF(LEFT(A53,3)="B60",20,IF(LEFT(A53,3)="B12",30,25))+B53*0.5+INT(Summary!M66*20)</f>
        <v>198</v>
      </c>
      <c r="G53">
        <f>ROUND(IF(OR(ISERROR(FIND(Summary!$P$89,CONCATENATE(C53,D53,E53))),ISERROR(FIND(Summary!$Q$89,A53))),Summary!$R$45,IF(H53&gt;Summary!$V$3,Summary!$R$46,Summary!$R$45))*(B53+30),0)</f>
        <v>4</v>
      </c>
      <c r="H53">
        <f>IF(H52&gt;Summary!$V$4,0,H52+F52)</f>
        <v>17854</v>
      </c>
      <c r="I53" s="26">
        <f>DATE(YEAR(Summary!$V$2),MONTH(Summary!$V$2),DAY(Summary!$V$2)+INT(H53/480))</f>
        <v>43627</v>
      </c>
      <c r="J53" s="27">
        <f t="shared" si="1"/>
        <v>0.39861111111111108</v>
      </c>
    </row>
    <row r="54" spans="1:10">
      <c r="A54" t="str">
        <f>VLOOKUP(Summary!M53,Summary!$P$13:$Q$24,2)</f>
        <v>B600-fire</v>
      </c>
      <c r="B54">
        <f>ROUND(NORMINV(Summary!M55,VLOOKUP(A54,Summary!$Q$13:$S$24,3,FALSE),VLOOKUP(A54,Summary!$Q$13:$S$24,3,FALSE)/6),-1)</f>
        <v>400</v>
      </c>
      <c r="C54" t="str">
        <f>IF(AND(H54=0,C53=Summary!$P$2),Summary!$Q$2,IF(AND(H54=0,C53=Summary!$Q$2),Summary!$R$2,C53))</f>
        <v>Neesha</v>
      </c>
      <c r="D54" t="str">
        <f>IF(C54=Summary!$P$26,VLOOKUP(Summary!M61,Summary!$Q$26:$R$27,2),IF('Run Data'!C54=Summary!$P$28,VLOOKUP(Summary!M61,Summary!$Q$28:$R$29,2),VLOOKUP(Summary!M61,Summary!$Q$30:$R$32,2)))</f>
        <v>Sprig 1</v>
      </c>
      <c r="E54" t="str">
        <f>VLOOKUP(Summary!M64,Summary!$P$42:$Q$43,2)</f>
        <v>86</v>
      </c>
      <c r="F54">
        <f>IF(LEFT(A54,3)="B60",20,IF(LEFT(A54,3)="B12",30,25))+B54*0.5+INT(Summary!M67*20)</f>
        <v>233</v>
      </c>
      <c r="G54">
        <f>ROUND(IF(OR(ISERROR(FIND(Summary!$P$89,CONCATENATE(C54,D54,E54))),ISERROR(FIND(Summary!$Q$89,A54))),Summary!$R$45,IF(H54&gt;Summary!$V$3,Summary!$R$46,Summary!$R$45))*(B54+30),0)</f>
        <v>4</v>
      </c>
      <c r="H54">
        <f>IF(H53&gt;Summary!$V$4,0,H53+F53)</f>
        <v>18052</v>
      </c>
      <c r="I54" s="26">
        <f>DATE(YEAR(Summary!$V$2),MONTH(Summary!$V$2),DAY(Summary!$V$2)+INT(H54/480))</f>
        <v>43627</v>
      </c>
      <c r="J54" s="27">
        <f t="shared" si="1"/>
        <v>0.53611111111111109</v>
      </c>
    </row>
    <row r="55" spans="1:10">
      <c r="A55" t="str">
        <f>VLOOKUP(Summary!M54,Summary!$P$13:$Q$24,2)</f>
        <v>B1700-plum</v>
      </c>
      <c r="B55">
        <f>ROUND(NORMINV(Summary!M56,VLOOKUP(A55,Summary!$Q$13:$S$24,3,FALSE),VLOOKUP(A55,Summary!$Q$13:$S$24,3,FALSE)/6),-1)</f>
        <v>260</v>
      </c>
      <c r="C55" t="str">
        <f>IF(AND(H55=0,C54=Summary!$P$2),Summary!$Q$2,IF(AND(H55=0,C54=Summary!$Q$2),Summary!$R$2,C54))</f>
        <v>Neesha</v>
      </c>
      <c r="D55" t="str">
        <f>IF(C55=Summary!$P$26,VLOOKUP(Summary!M62,Summary!$Q$26:$R$27,2),IF('Run Data'!C55=Summary!$P$28,VLOOKUP(Summary!M62,Summary!$Q$28:$R$29,2),VLOOKUP(Summary!M62,Summary!$Q$30:$R$32,2)))</f>
        <v>Sprig 1</v>
      </c>
      <c r="E55" t="str">
        <f>VLOOKUP(Summary!M65,Summary!$P$42:$Q$43,2)</f>
        <v>86</v>
      </c>
      <c r="F55">
        <f>IF(LEFT(A55,3)="B60",20,IF(LEFT(A55,3)="B12",30,25))+B55*0.5+INT(Summary!M68*20)</f>
        <v>162</v>
      </c>
      <c r="G55">
        <f>ROUND(IF(OR(ISERROR(FIND(Summary!$P$89,CONCATENATE(C55,D55,E55))),ISERROR(FIND(Summary!$Q$89,A55))),Summary!$R$45,IF(H55&gt;Summary!$V$3,Summary!$R$46,Summary!$R$45))*(B55+30),0)</f>
        <v>3</v>
      </c>
      <c r="H55">
        <f>IF(H54&gt;Summary!$V$4,0,H54+F54)</f>
        <v>18285</v>
      </c>
      <c r="I55" s="26">
        <f>DATE(YEAR(Summary!$V$2),MONTH(Summary!$V$2),DAY(Summary!$V$2)+INT(H55/480))</f>
        <v>43628</v>
      </c>
      <c r="J55" s="27">
        <f t="shared" si="1"/>
        <v>0.36458333333333331</v>
      </c>
    </row>
    <row r="56" spans="1:10">
      <c r="A56" t="str">
        <f>VLOOKUP(Summary!M55,Summary!$P$13:$Q$24,2)</f>
        <v>B1200-fire</v>
      </c>
      <c r="B56">
        <f>ROUND(NORMINV(Summary!M57,VLOOKUP(A56,Summary!$Q$13:$S$24,3,FALSE),VLOOKUP(A56,Summary!$Q$13:$S$24,3,FALSE)/6),-1)</f>
        <v>1320</v>
      </c>
      <c r="C56" t="str">
        <f>IF(AND(H56=0,C55=Summary!$P$2),Summary!$Q$2,IF(AND(H56=0,C55=Summary!$Q$2),Summary!$R$2,C55))</f>
        <v>Neesha</v>
      </c>
      <c r="D56" t="str">
        <f>IF(C56=Summary!$P$26,VLOOKUP(Summary!M63,Summary!$Q$26:$R$27,2),IF('Run Data'!C56=Summary!$P$28,VLOOKUP(Summary!M63,Summary!$Q$28:$R$29,2),VLOOKUP(Summary!M63,Summary!$Q$30:$R$32,2)))</f>
        <v>Sprig 1</v>
      </c>
      <c r="E56" t="str">
        <f>VLOOKUP(Summary!M66,Summary!$P$42:$Q$43,2)</f>
        <v>86</v>
      </c>
      <c r="F56">
        <f>IF(LEFT(A56,3)="B60",20,IF(LEFT(A56,3)="B12",30,25))+B56*0.5+INT(Summary!M69*20)</f>
        <v>709</v>
      </c>
      <c r="G56">
        <f>ROUND(IF(OR(ISERROR(FIND(Summary!$P$89,CONCATENATE(C56,D56,E56))),ISERROR(FIND(Summary!$Q$89,A56))),Summary!$R$45,IF(H56&gt;Summary!$V$3,Summary!$R$46,Summary!$R$45))*(B56+30),0)</f>
        <v>14</v>
      </c>
      <c r="H56">
        <f>IF(H55&gt;Summary!$V$4,0,H55+F55)</f>
        <v>18447</v>
      </c>
      <c r="I56" s="26">
        <f>DATE(YEAR(Summary!$V$2),MONTH(Summary!$V$2),DAY(Summary!$V$2)+INT(H56/480))</f>
        <v>43628</v>
      </c>
      <c r="J56" s="27">
        <f t="shared" si="1"/>
        <v>0.4770833333333333</v>
      </c>
    </row>
    <row r="57" spans="1:10">
      <c r="A57" t="str">
        <f>VLOOKUP(Summary!M56,Summary!$P$13:$Q$24,2)</f>
        <v>B600-lime</v>
      </c>
      <c r="B57">
        <f>ROUND(NORMINV(Summary!M58,VLOOKUP(A57,Summary!$Q$13:$S$24,3,FALSE),VLOOKUP(A57,Summary!$Q$13:$S$24,3,FALSE)/6),-1)</f>
        <v>320</v>
      </c>
      <c r="C57" t="str">
        <f>IF(AND(H57=0,C56=Summary!$P$2),Summary!$Q$2,IF(AND(H57=0,C56=Summary!$Q$2),Summary!$R$2,C56))</f>
        <v>Neesha</v>
      </c>
      <c r="D57" t="str">
        <f>IF(C57=Summary!$P$26,VLOOKUP(Summary!M64,Summary!$Q$26:$R$27,2),IF('Run Data'!C57=Summary!$P$28,VLOOKUP(Summary!M64,Summary!$Q$28:$R$29,2),VLOOKUP(Summary!M64,Summary!$Q$30:$R$32,2)))</f>
        <v>Sprig 1</v>
      </c>
      <c r="E57" t="str">
        <f>VLOOKUP(Summary!M67,Summary!$P$42:$Q$43,2)</f>
        <v>86</v>
      </c>
      <c r="F57">
        <f>IF(LEFT(A57,3)="B60",20,IF(LEFT(A57,3)="B12",30,25))+B57*0.5+INT(Summary!M70*20)</f>
        <v>199</v>
      </c>
      <c r="G57">
        <f>ROUND(IF(OR(ISERROR(FIND(Summary!$P$89,CONCATENATE(C57,D57,E57))),ISERROR(FIND(Summary!$Q$89,A57))),Summary!$R$45,IF(H57&gt;Summary!$V$3,Summary!$R$46,Summary!$R$45))*(B57+30),0)</f>
        <v>4</v>
      </c>
      <c r="H57">
        <f>IF(H56&gt;Summary!$V$4,0,H56+F56)</f>
        <v>19156</v>
      </c>
      <c r="I57" s="26">
        <f>DATE(YEAR(Summary!$V$2),MONTH(Summary!$V$2),DAY(Summary!$V$2)+INT(H57/480))</f>
        <v>43629</v>
      </c>
      <c r="J57" s="27">
        <f t="shared" si="1"/>
        <v>0.63611111111111118</v>
      </c>
    </row>
    <row r="58" spans="1:10">
      <c r="A58" t="str">
        <f>VLOOKUP(Summary!M57,Summary!$P$13:$Q$24,2)</f>
        <v>B1700-plum</v>
      </c>
      <c r="B58">
        <f>ROUND(NORMINV(Summary!M59,VLOOKUP(A58,Summary!$Q$13:$S$24,3,FALSE),VLOOKUP(A58,Summary!$Q$13:$S$24,3,FALSE)/6),-1)</f>
        <v>270</v>
      </c>
      <c r="C58" t="str">
        <f>IF(AND(H58=0,C57=Summary!$P$2),Summary!$Q$2,IF(AND(H58=0,C57=Summary!$Q$2),Summary!$R$2,C57))</f>
        <v>Neesha</v>
      </c>
      <c r="D58" t="str">
        <f>IF(C58=Summary!$P$26,VLOOKUP(Summary!M65,Summary!$Q$26:$R$27,2),IF('Run Data'!C58=Summary!$P$28,VLOOKUP(Summary!M65,Summary!$Q$28:$R$29,2),VLOOKUP(Summary!M65,Summary!$Q$30:$R$32,2)))</f>
        <v>Sprig 1</v>
      </c>
      <c r="E58" t="str">
        <f>VLOOKUP(Summary!M68,Summary!$P$42:$Q$43,2)</f>
        <v>86</v>
      </c>
      <c r="F58">
        <f>IF(LEFT(A58,3)="B60",20,IF(LEFT(A58,3)="B12",30,25))+B58*0.5+INT(Summary!M71*20)</f>
        <v>175</v>
      </c>
      <c r="G58">
        <f>ROUND(IF(OR(ISERROR(FIND(Summary!$P$89,CONCATENATE(C58,D58,E58))),ISERROR(FIND(Summary!$Q$89,A58))),Summary!$R$45,IF(H58&gt;Summary!$V$3,Summary!$R$46,Summary!$R$45))*(B58+30),0)</f>
        <v>3</v>
      </c>
      <c r="H58">
        <f>IF(H57&gt;Summary!$V$4,0,H57+F57)</f>
        <v>19355</v>
      </c>
      <c r="I58" s="26">
        <f>DATE(YEAR(Summary!$V$2),MONTH(Summary!$V$2),DAY(Summary!$V$2)+INT(H58/480))</f>
        <v>43630</v>
      </c>
      <c r="J58" s="27">
        <f t="shared" si="1"/>
        <v>0.44097222222222227</v>
      </c>
    </row>
    <row r="59" spans="1:10">
      <c r="A59" t="str">
        <f>VLOOKUP(Summary!M58,Summary!$P$13:$Q$24,2)</f>
        <v>B1200-lime</v>
      </c>
      <c r="B59">
        <f>ROUND(NORMINV(Summary!M60,VLOOKUP(A59,Summary!$Q$13:$S$24,3,FALSE),VLOOKUP(A59,Summary!$Q$13:$S$24,3,FALSE)/6),-1)</f>
        <v>820</v>
      </c>
      <c r="C59" t="str">
        <f>IF(AND(H59=0,C58=Summary!$P$2),Summary!$Q$2,IF(AND(H59=0,C58=Summary!$Q$2),Summary!$R$2,C58))</f>
        <v>Neesha</v>
      </c>
      <c r="D59" t="str">
        <f>IF(C59=Summary!$P$26,VLOOKUP(Summary!M66,Summary!$Q$26:$R$27,2),IF('Run Data'!C59=Summary!$P$28,VLOOKUP(Summary!M66,Summary!$Q$28:$R$29,2),VLOOKUP(Summary!M66,Summary!$Q$30:$R$32,2)))</f>
        <v>Sprig 1</v>
      </c>
      <c r="E59" t="str">
        <f>VLOOKUP(Summary!M69,Summary!$P$42:$Q$43,2)</f>
        <v>87b</v>
      </c>
      <c r="F59">
        <f>IF(LEFT(A59,3)="B60",20,IF(LEFT(A59,3)="B12",30,25))+B59*0.5+INT(Summary!M72*20)</f>
        <v>447</v>
      </c>
      <c r="G59">
        <f>ROUND(IF(OR(ISERROR(FIND(Summary!$P$89,CONCATENATE(C59,D59,E59))),ISERROR(FIND(Summary!$Q$89,A59))),Summary!$R$45,IF(H59&gt;Summary!$V$3,Summary!$R$46,Summary!$R$45))*(B59+30),0)</f>
        <v>9</v>
      </c>
      <c r="H59">
        <f>IF(H58&gt;Summary!$V$4,0,H58+F58)</f>
        <v>19530</v>
      </c>
      <c r="I59" s="26">
        <f>DATE(YEAR(Summary!$V$2),MONTH(Summary!$V$2),DAY(Summary!$V$2)+INT(H59/480))</f>
        <v>43630</v>
      </c>
      <c r="J59" s="27">
        <f t="shared" si="1"/>
        <v>0.5625</v>
      </c>
    </row>
    <row r="60" spans="1:10">
      <c r="A60" t="str">
        <f>VLOOKUP(Summary!M59,Summary!$P$13:$Q$24,2)</f>
        <v>B1200-plum</v>
      </c>
      <c r="B60">
        <f>ROUND(NORMINV(Summary!M61,VLOOKUP(A60,Summary!$Q$13:$S$24,3,FALSE),VLOOKUP(A60,Summary!$Q$13:$S$24,3,FALSE)/6),-1)</f>
        <v>390</v>
      </c>
      <c r="C60" t="str">
        <f>IF(AND(H60=0,C59=Summary!$P$2),Summary!$Q$2,IF(AND(H60=0,C59=Summary!$Q$2),Summary!$R$2,C59))</f>
        <v>Neesha</v>
      </c>
      <c r="D60" t="str">
        <f>IF(C60=Summary!$P$26,VLOOKUP(Summary!M67,Summary!$Q$26:$R$27,2),IF('Run Data'!C60=Summary!$P$28,VLOOKUP(Summary!M67,Summary!$Q$28:$R$29,2),VLOOKUP(Summary!M67,Summary!$Q$30:$R$32,2)))</f>
        <v>Sprig 1</v>
      </c>
      <c r="E60" t="str">
        <f>VLOOKUP(Summary!M70,Summary!$P$42:$Q$43,2)</f>
        <v>87b</v>
      </c>
      <c r="F60">
        <f>IF(LEFT(A60,3)="B60",20,IF(LEFT(A60,3)="B12",30,25))+B60*0.5+INT(Summary!M73*20)</f>
        <v>227</v>
      </c>
      <c r="G60">
        <f>ROUND(IF(OR(ISERROR(FIND(Summary!$P$89,CONCATENATE(C60,D60,E60))),ISERROR(FIND(Summary!$Q$89,A60))),Summary!$R$45,IF(H60&gt;Summary!$V$3,Summary!$R$46,Summary!$R$45))*(B60+30),0)</f>
        <v>4</v>
      </c>
      <c r="H60">
        <f>IF(H59&gt;Summary!$V$4,0,H59+F59)</f>
        <v>19977</v>
      </c>
      <c r="I60" s="26">
        <f>DATE(YEAR(Summary!$V$2),MONTH(Summary!$V$2),DAY(Summary!$V$2)+INT(H60/480))</f>
        <v>43631</v>
      </c>
      <c r="J60" s="27">
        <f t="shared" si="1"/>
        <v>0.5395833333333333</v>
      </c>
    </row>
    <row r="61" spans="1:10">
      <c r="A61" t="str">
        <f>VLOOKUP(Summary!M60,Summary!$P$13:$Q$24,2)</f>
        <v>B1200-lime</v>
      </c>
      <c r="B61">
        <f>ROUND(NORMINV(Summary!M62,VLOOKUP(A61,Summary!$Q$13:$S$24,3,FALSE),VLOOKUP(A61,Summary!$Q$13:$S$24,3,FALSE)/6),-1)</f>
        <v>780</v>
      </c>
      <c r="C61" t="str">
        <f>IF(AND(H61=0,C60=Summary!$P$2),Summary!$Q$2,IF(AND(H61=0,C60=Summary!$Q$2),Summary!$R$2,C60))</f>
        <v>Neesha</v>
      </c>
      <c r="D61" t="str">
        <f>IF(C61=Summary!$P$26,VLOOKUP(Summary!M68,Summary!$Q$26:$R$27,2),IF('Run Data'!C61=Summary!$P$28,VLOOKUP(Summary!M68,Summary!$Q$28:$R$29,2),VLOOKUP(Summary!M68,Summary!$Q$30:$R$32,2)))</f>
        <v>Sprig 1</v>
      </c>
      <c r="E61" t="str">
        <f>VLOOKUP(Summary!M71,Summary!$P$42:$Q$43,2)</f>
        <v>86</v>
      </c>
      <c r="F61">
        <f>IF(LEFT(A61,3)="B60",20,IF(LEFT(A61,3)="B12",30,25))+B61*0.5+INT(Summary!M74*20)</f>
        <v>438</v>
      </c>
      <c r="G61">
        <f>ROUND(IF(OR(ISERROR(FIND(Summary!$P$89,CONCATENATE(C61,D61,E61))),ISERROR(FIND(Summary!$Q$89,A61))),Summary!$R$45,IF(H61&gt;Summary!$V$3,Summary!$R$46,Summary!$R$45))*(B61+30),0)</f>
        <v>8</v>
      </c>
      <c r="H61">
        <f>IF(H60&gt;Summary!$V$4,0,H60+F60)</f>
        <v>20204</v>
      </c>
      <c r="I61" s="26">
        <f>DATE(YEAR(Summary!$V$2),MONTH(Summary!$V$2),DAY(Summary!$V$2)+INT(H61/480))</f>
        <v>43632</v>
      </c>
      <c r="J61" s="27">
        <f t="shared" si="1"/>
        <v>0.36388888888888887</v>
      </c>
    </row>
    <row r="62" spans="1:10">
      <c r="A62" t="str">
        <f>VLOOKUP(Summary!M61,Summary!$P$13:$Q$24,2)</f>
        <v>B600-lime</v>
      </c>
      <c r="B62">
        <f>ROUND(NORMINV(Summary!M63,VLOOKUP(A62,Summary!$Q$13:$S$24,3,FALSE),VLOOKUP(A62,Summary!$Q$13:$S$24,3,FALSE)/6),-1)</f>
        <v>320</v>
      </c>
      <c r="C62" t="str">
        <f>IF(AND(H62=0,C61=Summary!$P$2),Summary!$Q$2,IF(AND(H62=0,C61=Summary!$Q$2),Summary!$R$2,C61))</f>
        <v>Neesha</v>
      </c>
      <c r="D62" t="str">
        <f>IF(C62=Summary!$P$26,VLOOKUP(Summary!M69,Summary!$Q$26:$R$27,2),IF('Run Data'!C62=Summary!$P$28,VLOOKUP(Summary!M69,Summary!$Q$28:$R$29,2),VLOOKUP(Summary!M69,Summary!$Q$30:$R$32,2)))</f>
        <v>Sprig 4</v>
      </c>
      <c r="E62" t="str">
        <f>VLOOKUP(Summary!M72,Summary!$P$42:$Q$43,2)</f>
        <v>86</v>
      </c>
      <c r="F62">
        <f>IF(LEFT(A62,3)="B60",20,IF(LEFT(A62,3)="B12",30,25))+B62*0.5+INT(Summary!M75*20)</f>
        <v>184</v>
      </c>
      <c r="G62">
        <f>ROUND(IF(OR(ISERROR(FIND(Summary!$P$89,CONCATENATE(C62,D62,E62))),ISERROR(FIND(Summary!$Q$89,A62))),Summary!$R$45,IF(H62&gt;Summary!$V$3,Summary!$R$46,Summary!$R$45))*(B62+30),0)</f>
        <v>4</v>
      </c>
      <c r="H62">
        <f>IF(H61&gt;Summary!$V$4,0,H61+F61)</f>
        <v>20642</v>
      </c>
      <c r="I62" s="26">
        <f>DATE(YEAR(Summary!$V$2),MONTH(Summary!$V$2),DAY(Summary!$V$2)+INT(H62/480))</f>
        <v>43633</v>
      </c>
      <c r="J62" s="27">
        <f t="shared" si="1"/>
        <v>0.3347222222222222</v>
      </c>
    </row>
    <row r="63" spans="1:10">
      <c r="A63" t="str">
        <f>VLOOKUP(Summary!M62,Summary!$P$13:$Q$24,2)</f>
        <v>B1200-sky</v>
      </c>
      <c r="B63">
        <f>ROUND(NORMINV(Summary!M64,VLOOKUP(A63,Summary!$Q$13:$S$24,3,FALSE),VLOOKUP(A63,Summary!$Q$13:$S$24,3,FALSE)/6),-1)</f>
        <v>1230</v>
      </c>
      <c r="C63" t="str">
        <f>IF(AND(H63=0,C62=Summary!$P$2),Summary!$Q$2,IF(AND(H63=0,C62=Summary!$Q$2),Summary!$R$2,C62))</f>
        <v>Neesha</v>
      </c>
      <c r="D63" t="str">
        <f>IF(C63=Summary!$P$26,VLOOKUP(Summary!M70,Summary!$Q$26:$R$27,2),IF('Run Data'!C63=Summary!$P$28,VLOOKUP(Summary!M70,Summary!$Q$28:$R$29,2),VLOOKUP(Summary!M70,Summary!$Q$30:$R$32,2)))</f>
        <v>Sprig 4</v>
      </c>
      <c r="E63" t="str">
        <f>VLOOKUP(Summary!M73,Summary!$P$42:$Q$43,2)</f>
        <v>86</v>
      </c>
      <c r="F63">
        <f>IF(LEFT(A63,3)="B60",20,IF(LEFT(A63,3)="B12",30,25))+B63*0.5+INT(Summary!M76*20)</f>
        <v>658</v>
      </c>
      <c r="G63">
        <f>ROUND(IF(OR(ISERROR(FIND(Summary!$P$89,CONCATENATE(C63,D63,E63))),ISERROR(FIND(Summary!$Q$89,A63))),Summary!$R$45,IF(H63&gt;Summary!$V$3,Summary!$R$46,Summary!$R$45))*(B63+30),0)</f>
        <v>13</v>
      </c>
      <c r="H63">
        <f>IF(H62&gt;Summary!$V$4,0,H62+F62)</f>
        <v>20826</v>
      </c>
      <c r="I63" s="26">
        <f>DATE(YEAR(Summary!$V$2),MONTH(Summary!$V$2),DAY(Summary!$V$2)+INT(H63/480))</f>
        <v>43633</v>
      </c>
      <c r="J63" s="27">
        <f t="shared" si="1"/>
        <v>0.46249999999999997</v>
      </c>
    </row>
    <row r="64" spans="1:10">
      <c r="A64" t="str">
        <f>VLOOKUP(Summary!M63,Summary!$P$13:$Q$24,2)</f>
        <v>B1200-lime</v>
      </c>
      <c r="B64">
        <f>ROUND(NORMINV(Summary!M65,VLOOKUP(A64,Summary!$Q$13:$S$24,3,FALSE),VLOOKUP(A64,Summary!$Q$13:$S$24,3,FALSE)/6),-1)</f>
        <v>770</v>
      </c>
      <c r="C64" t="str">
        <f>IF(AND(H64=0,C63=Summary!$P$2),Summary!$Q$2,IF(AND(H64=0,C63=Summary!$Q$2),Summary!$R$2,C63))</f>
        <v>Neesha</v>
      </c>
      <c r="D64" t="str">
        <f>IF(C64=Summary!$P$26,VLOOKUP(Summary!M71,Summary!$Q$26:$R$27,2),IF('Run Data'!C64=Summary!$P$28,VLOOKUP(Summary!M71,Summary!$Q$28:$R$29,2),VLOOKUP(Summary!M71,Summary!$Q$30:$R$32,2)))</f>
        <v>Sprig 4</v>
      </c>
      <c r="E64" t="str">
        <f>VLOOKUP(Summary!M74,Summary!$P$42:$Q$43,2)</f>
        <v>87b</v>
      </c>
      <c r="F64">
        <f>IF(LEFT(A64,3)="B60",20,IF(LEFT(A64,3)="B12",30,25))+B64*0.5+INT(Summary!M77*20)</f>
        <v>422</v>
      </c>
      <c r="G64">
        <f>ROUND(IF(OR(ISERROR(FIND(Summary!$P$89,CONCATENATE(C64,D64,E64))),ISERROR(FIND(Summary!$Q$89,A64))),Summary!$R$45,IF(H64&gt;Summary!$V$3,Summary!$R$46,Summary!$R$45))*(B64+30),0)</f>
        <v>8</v>
      </c>
      <c r="H64">
        <f>IF(H63&gt;Summary!$V$4,0,H63+F63)</f>
        <v>21484</v>
      </c>
      <c r="I64" s="26">
        <f>DATE(YEAR(Summary!$V$2),MONTH(Summary!$V$2),DAY(Summary!$V$2)+INT(H64/480))</f>
        <v>43634</v>
      </c>
      <c r="J64" s="27">
        <f t="shared" si="1"/>
        <v>0.58611111111111114</v>
      </c>
    </row>
    <row r="65" spans="1:10">
      <c r="A65" t="str">
        <f>VLOOKUP(Summary!M64,Summary!$P$13:$Q$24,2)</f>
        <v>B1200-lime</v>
      </c>
      <c r="B65">
        <f>ROUND(NORMINV(Summary!M66,VLOOKUP(A65,Summary!$Q$13:$S$24,3,FALSE),VLOOKUP(A65,Summary!$Q$13:$S$24,3,FALSE)/6),-1)</f>
        <v>770</v>
      </c>
      <c r="C65" t="str">
        <f>IF(AND(H65=0,C64=Summary!$P$2),Summary!$Q$2,IF(AND(H65=0,C64=Summary!$Q$2),Summary!$R$2,C64))</f>
        <v>Neesha</v>
      </c>
      <c r="D65" t="str">
        <f>IF(C65=Summary!$P$26,VLOOKUP(Summary!M72,Summary!$Q$26:$R$27,2),IF('Run Data'!C65=Summary!$P$28,VLOOKUP(Summary!M72,Summary!$Q$28:$R$29,2),VLOOKUP(Summary!M72,Summary!$Q$30:$R$32,2)))</f>
        <v>Sprig 1</v>
      </c>
      <c r="E65" t="str">
        <f>VLOOKUP(Summary!M75,Summary!$P$42:$Q$43,2)</f>
        <v>86</v>
      </c>
      <c r="F65">
        <f>IF(LEFT(A65,3)="B60",20,IF(LEFT(A65,3)="B12",30,25))+B65*0.5+INT(Summary!M78*20)</f>
        <v>432</v>
      </c>
      <c r="G65">
        <f>ROUND(IF(OR(ISERROR(FIND(Summary!$P$89,CONCATENATE(C65,D65,E65))),ISERROR(FIND(Summary!$Q$89,A65))),Summary!$R$45,IF(H65&gt;Summary!$V$3,Summary!$R$46,Summary!$R$45))*(B65+30),0)</f>
        <v>8</v>
      </c>
      <c r="H65">
        <f>IF(H64&gt;Summary!$V$4,0,H64+F64)</f>
        <v>21906</v>
      </c>
      <c r="I65" s="26">
        <f>DATE(YEAR(Summary!$V$2),MONTH(Summary!$V$2),DAY(Summary!$V$2)+INT(H65/480))</f>
        <v>43635</v>
      </c>
      <c r="J65" s="27">
        <f t="shared" si="1"/>
        <v>0.54583333333333328</v>
      </c>
    </row>
    <row r="66" spans="1:10">
      <c r="A66" t="str">
        <f>VLOOKUP(Summary!M65,Summary!$P$13:$Q$24,2)</f>
        <v>B1200-sky</v>
      </c>
      <c r="B66">
        <f>ROUND(NORMINV(Summary!M67,VLOOKUP(A66,Summary!$Q$13:$S$24,3,FALSE),VLOOKUP(A66,Summary!$Q$13:$S$24,3,FALSE)/6),-1)</f>
        <v>1290</v>
      </c>
      <c r="C66" t="str">
        <f>IF(AND(H66=0,C65=Summary!$P$2),Summary!$Q$2,IF(AND(H66=0,C65=Summary!$Q$2),Summary!$R$2,C65))</f>
        <v>Neesha</v>
      </c>
      <c r="D66" t="str">
        <f>IF(C66=Summary!$P$26,VLOOKUP(Summary!M73,Summary!$Q$26:$R$27,2),IF('Run Data'!C66=Summary!$P$28,VLOOKUP(Summary!M73,Summary!$Q$28:$R$29,2),VLOOKUP(Summary!M73,Summary!$Q$30:$R$32,2)))</f>
        <v>Sprig 1</v>
      </c>
      <c r="E66" t="str">
        <f>VLOOKUP(Summary!M76,Summary!$P$42:$Q$43,2)</f>
        <v>86</v>
      </c>
      <c r="F66">
        <f>IF(LEFT(A66,3)="B60",20,IF(LEFT(A66,3)="B12",30,25))+B66*0.5+INT(Summary!M79*20)</f>
        <v>686</v>
      </c>
      <c r="G66">
        <f>ROUND(IF(OR(ISERROR(FIND(Summary!$P$89,CONCATENATE(C66,D66,E66))),ISERROR(FIND(Summary!$Q$89,A66))),Summary!$R$45,IF(H66&gt;Summary!$V$3,Summary!$R$46,Summary!$R$45))*(B66+30),0)</f>
        <v>13</v>
      </c>
      <c r="H66">
        <f>IF(H65&gt;Summary!$V$4,0,H65+F65)</f>
        <v>22338</v>
      </c>
      <c r="I66" s="26">
        <f>DATE(YEAR(Summary!$V$2),MONTH(Summary!$V$2),DAY(Summary!$V$2)+INT(H66/480))</f>
        <v>43636</v>
      </c>
      <c r="J66" s="27">
        <f t="shared" si="1"/>
        <v>0.51250000000000007</v>
      </c>
    </row>
    <row r="67" spans="1:10">
      <c r="A67" t="str">
        <f>VLOOKUP(Summary!M66,Summary!$P$13:$Q$24,2)</f>
        <v>B1200-sky</v>
      </c>
      <c r="B67">
        <f>ROUND(NORMINV(Summary!M68,VLOOKUP(A67,Summary!$Q$13:$S$24,3,FALSE),VLOOKUP(A67,Summary!$Q$13:$S$24,3,FALSE)/6),-1)</f>
        <v>1120</v>
      </c>
      <c r="C67" t="str">
        <f>IF(AND(H67=0,C66=Summary!$P$2),Summary!$Q$2,IF(AND(H67=0,C66=Summary!$Q$2),Summary!$R$2,C66))</f>
        <v>Neesha</v>
      </c>
      <c r="D67" t="str">
        <f>IF(C67=Summary!$P$26,VLOOKUP(Summary!M74,Summary!$Q$26:$R$27,2),IF('Run Data'!C67=Summary!$P$28,VLOOKUP(Summary!M74,Summary!$Q$28:$R$29,2),VLOOKUP(Summary!M74,Summary!$Q$30:$R$32,2)))</f>
        <v>Sprig 4</v>
      </c>
      <c r="E67" t="str">
        <f>VLOOKUP(Summary!M77,Summary!$P$42:$Q$43,2)</f>
        <v>86</v>
      </c>
      <c r="F67">
        <f>IF(LEFT(A67,3)="B60",20,IF(LEFT(A67,3)="B12",30,25))+B67*0.5+INT(Summary!M80*20)</f>
        <v>595</v>
      </c>
      <c r="G67">
        <f>ROUND(IF(OR(ISERROR(FIND(Summary!$P$89,CONCATENATE(C67,D67,E67))),ISERROR(FIND(Summary!$Q$89,A67))),Summary!$R$45,IF(H67&gt;Summary!$V$3,Summary!$R$46,Summary!$R$45))*(B67+30),0)</f>
        <v>12</v>
      </c>
      <c r="H67">
        <f>IF(H66&gt;Summary!$V$4,0,H66+F66)</f>
        <v>23024</v>
      </c>
      <c r="I67" s="26">
        <f>DATE(YEAR(Summary!$V$2),MONTH(Summary!$V$2),DAY(Summary!$V$2)+INT(H67/480))</f>
        <v>43637</v>
      </c>
      <c r="J67" s="27">
        <f t="shared" si="1"/>
        <v>0.65555555555555556</v>
      </c>
    </row>
    <row r="68" spans="1:10">
      <c r="A68" t="str">
        <f>VLOOKUP(Summary!M67,Summary!$P$13:$Q$24,2)</f>
        <v>B1200-lime</v>
      </c>
      <c r="B68">
        <f>ROUND(NORMINV(Summary!M69,VLOOKUP(A68,Summary!$Q$13:$S$24,3,FALSE),VLOOKUP(A68,Summary!$Q$13:$S$24,3,FALSE)/6),-1)</f>
        <v>1070</v>
      </c>
      <c r="C68" t="str">
        <f>IF(AND(H68=0,C67=Summary!$P$2),Summary!$Q$2,IF(AND(H68=0,C67=Summary!$Q$2),Summary!$R$2,C67))</f>
        <v>Neesha</v>
      </c>
      <c r="D68" t="str">
        <f>IF(C68=Summary!$P$26,VLOOKUP(Summary!M75,Summary!$Q$26:$R$27,2),IF('Run Data'!C68=Summary!$P$28,VLOOKUP(Summary!M75,Summary!$Q$28:$R$29,2),VLOOKUP(Summary!M75,Summary!$Q$30:$R$32,2)))</f>
        <v>Sprig 1</v>
      </c>
      <c r="E68" t="str">
        <f>VLOOKUP(Summary!M78,Summary!$P$42:$Q$43,2)</f>
        <v>87b</v>
      </c>
      <c r="F68">
        <f>IF(LEFT(A68,3)="B60",20,IF(LEFT(A68,3)="B12",30,25))+B68*0.5+INT(Summary!M81*20)</f>
        <v>569</v>
      </c>
      <c r="G68">
        <f>ROUND(IF(OR(ISERROR(FIND(Summary!$P$89,CONCATENATE(C68,D68,E68))),ISERROR(FIND(Summary!$Q$89,A68))),Summary!$R$45,IF(H68&gt;Summary!$V$3,Summary!$R$46,Summary!$R$45))*(B68+30),0)</f>
        <v>11</v>
      </c>
      <c r="H68">
        <f>IF(H67&gt;Summary!$V$4,0,H67+F67)</f>
        <v>23619</v>
      </c>
      <c r="I68" s="26">
        <f>DATE(YEAR(Summary!$V$2),MONTH(Summary!$V$2),DAY(Summary!$V$2)+INT(H68/480))</f>
        <v>43639</v>
      </c>
      <c r="J68" s="27">
        <f t="shared" si="1"/>
        <v>0.40208333333333335</v>
      </c>
    </row>
    <row r="69" spans="1:10">
      <c r="A69" t="str">
        <f>VLOOKUP(Summary!M68,Summary!$P$13:$Q$24,2)</f>
        <v>B1200-sky</v>
      </c>
      <c r="B69">
        <f>ROUND(NORMINV(Summary!M70,VLOOKUP(A69,Summary!$Q$13:$S$24,3,FALSE),VLOOKUP(A69,Summary!$Q$13:$S$24,3,FALSE)/6),-1)</f>
        <v>1640</v>
      </c>
      <c r="C69" t="str">
        <f>IF(AND(H69=0,C68=Summary!$P$2),Summary!$Q$2,IF(AND(H69=0,C68=Summary!$Q$2),Summary!$R$2,C68))</f>
        <v>Neesha</v>
      </c>
      <c r="D69" t="str">
        <f>IF(C69=Summary!$P$26,VLOOKUP(Summary!M76,Summary!$Q$26:$R$27,2),IF('Run Data'!C69=Summary!$P$28,VLOOKUP(Summary!M76,Summary!$Q$28:$R$29,2),VLOOKUP(Summary!M76,Summary!$Q$30:$R$32,2)))</f>
        <v>Sprig 1</v>
      </c>
      <c r="E69" t="str">
        <f>VLOOKUP(Summary!M79,Summary!$P$42:$Q$43,2)</f>
        <v>86</v>
      </c>
      <c r="F69">
        <f>IF(LEFT(A69,3)="B60",20,IF(LEFT(A69,3)="B12",30,25))+B69*0.5+INT(Summary!M82*20)</f>
        <v>864</v>
      </c>
      <c r="G69">
        <f>ROUND(IF(OR(ISERROR(FIND(Summary!$P$89,CONCATENATE(C69,D69,E69))),ISERROR(FIND(Summary!$Q$89,A69))),Summary!$R$45,IF(H69&gt;Summary!$V$3,Summary!$R$46,Summary!$R$45))*(B69+30),0)</f>
        <v>17</v>
      </c>
      <c r="H69">
        <f>IF(H68&gt;Summary!$V$4,0,H68+F68)</f>
        <v>24188</v>
      </c>
      <c r="I69" s="26">
        <f>DATE(YEAR(Summary!$V$2),MONTH(Summary!$V$2),DAY(Summary!$V$2)+INT(H69/480))</f>
        <v>43640</v>
      </c>
      <c r="J69" s="27">
        <f t="shared" si="1"/>
        <v>0.46388888888888885</v>
      </c>
    </row>
    <row r="70" spans="1:10">
      <c r="A70" t="str">
        <f>VLOOKUP(Summary!M69,Summary!$P$13:$Q$24,2)</f>
        <v>B1700-lime</v>
      </c>
      <c r="B70">
        <f>ROUND(NORMINV(Summary!M71,VLOOKUP(A70,Summary!$Q$13:$S$24,3,FALSE),VLOOKUP(A70,Summary!$Q$13:$S$24,3,FALSE)/6),-1)</f>
        <v>450</v>
      </c>
      <c r="C70" t="str">
        <f>IF(AND(H70=0,C69=Summary!$P$2),Summary!$Q$2,IF(AND(H70=0,C69=Summary!$Q$2),Summary!$R$2,C69))</f>
        <v>Neesha</v>
      </c>
      <c r="D70" t="str">
        <f>IF(C70=Summary!$P$26,VLOOKUP(Summary!M77,Summary!$Q$26:$R$27,2),IF('Run Data'!C70=Summary!$P$28,VLOOKUP(Summary!M77,Summary!$Q$28:$R$29,2),VLOOKUP(Summary!M77,Summary!$Q$30:$R$32,2)))</f>
        <v>Sprig 1</v>
      </c>
      <c r="E70" t="str">
        <f>VLOOKUP(Summary!M80,Summary!$P$42:$Q$43,2)</f>
        <v>86</v>
      </c>
      <c r="F70">
        <f>IF(LEFT(A70,3)="B60",20,IF(LEFT(A70,3)="B12",30,25))+B70*0.5+INT(Summary!M83*20)</f>
        <v>265</v>
      </c>
      <c r="G70">
        <f>ROUND(IF(OR(ISERROR(FIND(Summary!$P$89,CONCATENATE(C70,D70,E70))),ISERROR(FIND(Summary!$Q$89,A70))),Summary!$R$45,IF(H70&gt;Summary!$V$3,Summary!$R$46,Summary!$R$45))*(B70+30),0)</f>
        <v>5</v>
      </c>
      <c r="H70">
        <f>IF(H69&gt;Summary!$V$4,0,H69+F69)</f>
        <v>25052</v>
      </c>
      <c r="I70" s="26">
        <f>DATE(YEAR(Summary!$V$2),MONTH(Summary!$V$2),DAY(Summary!$V$2)+INT(H70/480))</f>
        <v>43642</v>
      </c>
      <c r="J70" s="27">
        <f t="shared" si="1"/>
        <v>0.3972222222222222</v>
      </c>
    </row>
    <row r="71" spans="1:10">
      <c r="A71" t="str">
        <f>VLOOKUP(Summary!M70,Summary!$P$13:$Q$24,2)</f>
        <v>B1700-lime</v>
      </c>
      <c r="B71">
        <f>ROUND(NORMINV(Summary!M72,VLOOKUP(A71,Summary!$Q$13:$S$24,3,FALSE),VLOOKUP(A71,Summary!$Q$13:$S$24,3,FALSE)/6),-1)</f>
        <v>380</v>
      </c>
      <c r="C71" t="str">
        <f>IF(AND(H71=0,C70=Summary!$P$2),Summary!$Q$2,IF(AND(H71=0,C70=Summary!$Q$2),Summary!$R$2,C70))</f>
        <v>Neesha</v>
      </c>
      <c r="D71" t="str">
        <f>IF(C71=Summary!$P$26,VLOOKUP(Summary!M78,Summary!$Q$26:$R$27,2),IF('Run Data'!C71=Summary!$P$28,VLOOKUP(Summary!M78,Summary!$Q$28:$R$29,2),VLOOKUP(Summary!M78,Summary!$Q$30:$R$32,2)))</f>
        <v>Sprig 4</v>
      </c>
      <c r="E71" t="str">
        <f>VLOOKUP(Summary!M81,Summary!$P$42:$Q$43,2)</f>
        <v>86</v>
      </c>
      <c r="F71">
        <f>IF(LEFT(A71,3)="B60",20,IF(LEFT(A71,3)="B12",30,25))+B71*0.5+INT(Summary!M84*20)</f>
        <v>228</v>
      </c>
      <c r="G71">
        <f>ROUND(IF(OR(ISERROR(FIND(Summary!$P$89,CONCATENATE(C71,D71,E71))),ISERROR(FIND(Summary!$Q$89,A71))),Summary!$R$45,IF(H71&gt;Summary!$V$3,Summary!$R$46,Summary!$R$45))*(B71+30),0)</f>
        <v>4</v>
      </c>
      <c r="H71">
        <f>IF(H70&gt;Summary!$V$4,0,H70+F70)</f>
        <v>25317</v>
      </c>
      <c r="I71" s="26">
        <f>DATE(YEAR(Summary!$V$2),MONTH(Summary!$V$2),DAY(Summary!$V$2)+INT(H71/480))</f>
        <v>43642</v>
      </c>
      <c r="J71" s="27">
        <f t="shared" si="1"/>
        <v>0.58124999999999993</v>
      </c>
    </row>
    <row r="72" spans="1:10">
      <c r="A72" t="str">
        <f>VLOOKUP(Summary!M71,Summary!$P$13:$Q$24,2)</f>
        <v>B1700-plum</v>
      </c>
      <c r="B72">
        <f>ROUND(NORMINV(Summary!M73,VLOOKUP(A72,Summary!$Q$13:$S$24,3,FALSE),VLOOKUP(A72,Summary!$Q$13:$S$24,3,FALSE)/6),-1)</f>
        <v>240</v>
      </c>
      <c r="C72" t="str">
        <f>IF(AND(H72=0,C71=Summary!$P$2),Summary!$Q$2,IF(AND(H72=0,C71=Summary!$Q$2),Summary!$R$2,C71))</f>
        <v>Neesha</v>
      </c>
      <c r="D72" t="str">
        <f>IF(C72=Summary!$P$26,VLOOKUP(Summary!M79,Summary!$Q$26:$R$27,2),IF('Run Data'!C72=Summary!$P$28,VLOOKUP(Summary!M79,Summary!$Q$28:$R$29,2),VLOOKUP(Summary!M79,Summary!$Q$30:$R$32,2)))</f>
        <v>Sprig 1</v>
      </c>
      <c r="E72" t="str">
        <f>VLOOKUP(Summary!M82,Summary!$P$42:$Q$43,2)</f>
        <v>86</v>
      </c>
      <c r="F72">
        <f>IF(LEFT(A72,3)="B60",20,IF(LEFT(A72,3)="B12",30,25))+B72*0.5+INT(Summary!M85*20)</f>
        <v>151</v>
      </c>
      <c r="G72">
        <f>ROUND(IF(OR(ISERROR(FIND(Summary!$P$89,CONCATENATE(C72,D72,E72))),ISERROR(FIND(Summary!$Q$89,A72))),Summary!$R$45,IF(H72&gt;Summary!$V$3,Summary!$R$46,Summary!$R$45))*(B72+30),0)</f>
        <v>3</v>
      </c>
      <c r="H72">
        <f>IF(H71&gt;Summary!$V$4,0,H71+F71)</f>
        <v>25545</v>
      </c>
      <c r="I72" s="26">
        <f>DATE(YEAR(Summary!$V$2),MONTH(Summary!$V$2),DAY(Summary!$V$2)+INT(H72/480))</f>
        <v>43643</v>
      </c>
      <c r="J72" s="27">
        <f t="shared" si="1"/>
        <v>0.40625</v>
      </c>
    </row>
    <row r="73" spans="1:10">
      <c r="A73" t="str">
        <f>VLOOKUP(Summary!M72,Summary!$P$13:$Q$24,2)</f>
        <v>B1200-sky</v>
      </c>
      <c r="B73">
        <f>ROUND(NORMINV(Summary!M74,VLOOKUP(A73,Summary!$Q$13:$S$24,3,FALSE),VLOOKUP(A73,Summary!$Q$13:$S$24,3,FALSE)/6),-1)</f>
        <v>1510</v>
      </c>
      <c r="C73" t="str">
        <f>IF(AND(H73=0,C72=Summary!$P$2),Summary!$Q$2,IF(AND(H73=0,C72=Summary!$Q$2),Summary!$R$2,C72))</f>
        <v>Neesha</v>
      </c>
      <c r="D73" t="str">
        <f>IF(C73=Summary!$P$26,VLOOKUP(Summary!M80,Summary!$Q$26:$R$27,2),IF('Run Data'!C73=Summary!$P$28,VLOOKUP(Summary!M80,Summary!$Q$28:$R$29,2),VLOOKUP(Summary!M80,Summary!$Q$30:$R$32,2)))</f>
        <v>Sprig 1</v>
      </c>
      <c r="E73" t="str">
        <f>VLOOKUP(Summary!M83,Summary!$P$42:$Q$43,2)</f>
        <v>86</v>
      </c>
      <c r="F73">
        <f>IF(LEFT(A73,3)="B60",20,IF(LEFT(A73,3)="B12",30,25))+B73*0.5+INT(Summary!M86*20)</f>
        <v>801</v>
      </c>
      <c r="G73">
        <f>ROUND(IF(OR(ISERROR(FIND(Summary!$P$89,CONCATENATE(C73,D73,E73))),ISERROR(FIND(Summary!$Q$89,A73))),Summary!$R$45,IF(H73&gt;Summary!$V$3,Summary!$R$46,Summary!$R$45))*(B73+30),0)</f>
        <v>15</v>
      </c>
      <c r="H73">
        <f>IF(H72&gt;Summary!$V$4,0,H72+F72)</f>
        <v>25696</v>
      </c>
      <c r="I73" s="26">
        <f>DATE(YEAR(Summary!$V$2),MONTH(Summary!$V$2),DAY(Summary!$V$2)+INT(H73/480))</f>
        <v>43643</v>
      </c>
      <c r="J73" s="27">
        <f t="shared" si="1"/>
        <v>0.51111111111111118</v>
      </c>
    </row>
    <row r="74" spans="1:10">
      <c r="A74" t="str">
        <f>VLOOKUP(Summary!M73,Summary!$P$13:$Q$24,2)</f>
        <v>B600-fire</v>
      </c>
      <c r="B74">
        <f>ROUND(NORMINV(Summary!M75,VLOOKUP(A74,Summary!$Q$13:$S$24,3,FALSE),VLOOKUP(A74,Summary!$Q$13:$S$24,3,FALSE)/6),-1)</f>
        <v>350</v>
      </c>
      <c r="C74" t="str">
        <f>IF(AND(H74=0,C73=Summary!$P$2),Summary!$Q$2,IF(AND(H74=0,C73=Summary!$Q$2),Summary!$R$2,C73))</f>
        <v>Neesha</v>
      </c>
      <c r="D74" t="str">
        <f>IF(C74=Summary!$P$26,VLOOKUP(Summary!M81,Summary!$Q$26:$R$27,2),IF('Run Data'!C74=Summary!$P$28,VLOOKUP(Summary!M81,Summary!$Q$28:$R$29,2),VLOOKUP(Summary!M81,Summary!$Q$30:$R$32,2)))</f>
        <v>Sprig 1</v>
      </c>
      <c r="E74" t="str">
        <f>VLOOKUP(Summary!M84,Summary!$P$42:$Q$43,2)</f>
        <v>86</v>
      </c>
      <c r="F74">
        <f>IF(LEFT(A74,3)="B60",20,IF(LEFT(A74,3)="B12",30,25))+B74*0.5+INT(Summary!M87*20)</f>
        <v>208</v>
      </c>
      <c r="G74">
        <f>ROUND(IF(OR(ISERROR(FIND(Summary!$P$89,CONCATENATE(C74,D74,E74))),ISERROR(FIND(Summary!$Q$89,A74))),Summary!$R$45,IF(H74&gt;Summary!$V$3,Summary!$R$46,Summary!$R$45))*(B74+30),0)</f>
        <v>4</v>
      </c>
      <c r="H74">
        <f>IF(H73&gt;Summary!$V$4,0,H73+F73)</f>
        <v>26497</v>
      </c>
      <c r="I74" s="26">
        <f>DATE(YEAR(Summary!$V$2),MONTH(Summary!$V$2),DAY(Summary!$V$2)+INT(H74/480))</f>
        <v>43645</v>
      </c>
      <c r="J74" s="27">
        <f t="shared" si="1"/>
        <v>0.40069444444444446</v>
      </c>
    </row>
    <row r="75" spans="1:10">
      <c r="A75" t="str">
        <f>VLOOKUP(Summary!M74,Summary!$P$13:$Q$24,2)</f>
        <v>B1700-lime</v>
      </c>
      <c r="B75">
        <f>ROUND(NORMINV(Summary!M76,VLOOKUP(A75,Summary!$Q$13:$S$24,3,FALSE),VLOOKUP(A75,Summary!$Q$13:$S$24,3,FALSE)/6),-1)</f>
        <v>430</v>
      </c>
      <c r="C75" t="str">
        <f>IF(AND(H75=0,C74=Summary!$P$2),Summary!$Q$2,IF(AND(H75=0,C74=Summary!$Q$2),Summary!$R$2,C74))</f>
        <v>Neesha</v>
      </c>
      <c r="D75" t="str">
        <f>IF(C75=Summary!$P$26,VLOOKUP(Summary!M82,Summary!$Q$26:$R$27,2),IF('Run Data'!C75=Summary!$P$28,VLOOKUP(Summary!M82,Summary!$Q$28:$R$29,2),VLOOKUP(Summary!M82,Summary!$Q$30:$R$32,2)))</f>
        <v>Sprig 1</v>
      </c>
      <c r="E75" t="str">
        <f>VLOOKUP(Summary!M85,Summary!$P$42:$Q$43,2)</f>
        <v>86</v>
      </c>
      <c r="F75">
        <f>IF(LEFT(A75,3)="B60",20,IF(LEFT(A75,3)="B12",30,25))+B75*0.5+INT(Summary!M88*20)</f>
        <v>240</v>
      </c>
      <c r="G75">
        <f>ROUND(IF(OR(ISERROR(FIND(Summary!$P$89,CONCATENATE(C75,D75,E75))),ISERROR(FIND(Summary!$Q$89,A75))),Summary!$R$45,IF(H75&gt;Summary!$V$3,Summary!$R$46,Summary!$R$45))*(B75+30),0)</f>
        <v>5</v>
      </c>
      <c r="H75">
        <f>IF(H74&gt;Summary!$V$4,0,H74+F74)</f>
        <v>26705</v>
      </c>
      <c r="I75" s="26">
        <f>DATE(YEAR(Summary!$V$2),MONTH(Summary!$V$2),DAY(Summary!$V$2)+INT(H75/480))</f>
        <v>43645</v>
      </c>
      <c r="J75" s="27">
        <f t="shared" si="1"/>
        <v>0.54513888888888895</v>
      </c>
    </row>
    <row r="76" spans="1:10">
      <c r="A76" t="str">
        <f>VLOOKUP(Summary!M75,Summary!$P$13:$Q$24,2)</f>
        <v>B1200-plum</v>
      </c>
      <c r="B76">
        <f>ROUND(NORMINV(Summary!M77,VLOOKUP(A76,Summary!$Q$13:$S$24,3,FALSE),VLOOKUP(A76,Summary!$Q$13:$S$24,3,FALSE)/6),-1)</f>
        <v>430</v>
      </c>
      <c r="C76" t="str">
        <f>IF(AND(H76=0,C75=Summary!$P$2),Summary!$Q$2,IF(AND(H76=0,C75=Summary!$Q$2),Summary!$R$2,C75))</f>
        <v>Neesha</v>
      </c>
      <c r="D76" t="str">
        <f>IF(C76=Summary!$P$26,VLOOKUP(Summary!M83,Summary!$Q$26:$R$27,2),IF('Run Data'!C76=Summary!$P$28,VLOOKUP(Summary!M83,Summary!$Q$28:$R$29,2),VLOOKUP(Summary!M83,Summary!$Q$30:$R$32,2)))</f>
        <v>Sprig 4</v>
      </c>
      <c r="E76" t="str">
        <f>VLOOKUP(Summary!M86,Summary!$P$42:$Q$43,2)</f>
        <v>86</v>
      </c>
      <c r="F76">
        <f>IF(LEFT(A76,3)="B60",20,IF(LEFT(A76,3)="B12",30,25))+B76*0.5+INT(Summary!M89*20)</f>
        <v>258</v>
      </c>
      <c r="G76">
        <f>ROUND(IF(OR(ISERROR(FIND(Summary!$P$89,CONCATENATE(C76,D76,E76))),ISERROR(FIND(Summary!$Q$89,A76))),Summary!$R$45,IF(H76&gt;Summary!$V$3,Summary!$R$46,Summary!$R$45))*(B76+30),0)</f>
        <v>5</v>
      </c>
      <c r="H76">
        <f>IF(H75&gt;Summary!$V$4,0,H75+F75)</f>
        <v>26945</v>
      </c>
      <c r="I76" s="26">
        <f>DATE(YEAR(Summary!$V$2),MONTH(Summary!$V$2),DAY(Summary!$V$2)+INT(H76/480))</f>
        <v>43646</v>
      </c>
      <c r="J76" s="27">
        <f t="shared" si="1"/>
        <v>0.37847222222222227</v>
      </c>
    </row>
    <row r="77" spans="1:10">
      <c r="A77" t="str">
        <f>VLOOKUP(Summary!M76,Summary!$P$13:$Q$24,2)</f>
        <v>B1200-lime</v>
      </c>
      <c r="B77">
        <f>ROUND(NORMINV(Summary!M78,VLOOKUP(A77,Summary!$Q$13:$S$24,3,FALSE),VLOOKUP(A77,Summary!$Q$13:$S$24,3,FALSE)/6),-1)</f>
        <v>940</v>
      </c>
      <c r="C77" t="str">
        <f>IF(AND(H77=0,C76=Summary!$P$2),Summary!$Q$2,IF(AND(H77=0,C76=Summary!$Q$2),Summary!$R$2,C76))</f>
        <v>Neesha</v>
      </c>
      <c r="D77" t="str">
        <f>IF(C77=Summary!$P$26,VLOOKUP(Summary!M84,Summary!$Q$26:$R$27,2),IF('Run Data'!C77=Summary!$P$28,VLOOKUP(Summary!M84,Summary!$Q$28:$R$29,2),VLOOKUP(Summary!M84,Summary!$Q$30:$R$32,2)))</f>
        <v>Sprig 1</v>
      </c>
      <c r="E77" t="str">
        <f>VLOOKUP(Summary!M87,Summary!$P$42:$Q$43,2)</f>
        <v>86</v>
      </c>
      <c r="F77">
        <f>IF(LEFT(A77,3)="B60",20,IF(LEFT(A77,3)="B12",30,25))+B77*0.5+INT(Summary!M90*20)</f>
        <v>504</v>
      </c>
      <c r="G77">
        <f>ROUND(IF(OR(ISERROR(FIND(Summary!$P$89,CONCATENATE(C77,D77,E77))),ISERROR(FIND(Summary!$Q$89,A77))),Summary!$R$45,IF(H77&gt;Summary!$V$3,Summary!$R$46,Summary!$R$45))*(B77+30),0)</f>
        <v>10</v>
      </c>
      <c r="H77">
        <f>IF(H76&gt;Summary!$V$4,0,H76+F76)</f>
        <v>27203</v>
      </c>
      <c r="I77" s="26">
        <f>DATE(YEAR(Summary!$V$2),MONTH(Summary!$V$2),DAY(Summary!$V$2)+INT(H77/480))</f>
        <v>43646</v>
      </c>
      <c r="J77" s="27">
        <f t="shared" si="1"/>
        <v>0.55763888888888891</v>
      </c>
    </row>
    <row r="78" spans="1:10">
      <c r="A78" t="str">
        <f>VLOOKUP(Summary!M77,Summary!$P$13:$Q$24,2)</f>
        <v>B1200-sky</v>
      </c>
      <c r="B78">
        <f>ROUND(NORMINV(Summary!M79,VLOOKUP(A78,Summary!$Q$13:$S$24,3,FALSE),VLOOKUP(A78,Summary!$Q$13:$S$24,3,FALSE)/6),-1)</f>
        <v>1250</v>
      </c>
      <c r="C78" t="str">
        <f>IF(AND(H78=0,C77=Summary!$P$2),Summary!$Q$2,IF(AND(H78=0,C77=Summary!$Q$2),Summary!$R$2,C77))</f>
        <v>Neesha</v>
      </c>
      <c r="D78" t="str">
        <f>IF(C78=Summary!$P$26,VLOOKUP(Summary!M85,Summary!$Q$26:$R$27,2),IF('Run Data'!C78=Summary!$P$28,VLOOKUP(Summary!M85,Summary!$Q$28:$R$29,2),VLOOKUP(Summary!M85,Summary!$Q$30:$R$32,2)))</f>
        <v>Sprig 1</v>
      </c>
      <c r="E78" t="str">
        <f>VLOOKUP(Summary!M88,Summary!$P$42:$Q$43,2)</f>
        <v>86</v>
      </c>
      <c r="F78">
        <f>IF(LEFT(A78,3)="B60",20,IF(LEFT(A78,3)="B12",30,25))+B78*0.5+INT(Summary!M91*20)</f>
        <v>674</v>
      </c>
      <c r="G78">
        <f>ROUND(IF(OR(ISERROR(FIND(Summary!$P$89,CONCATENATE(C78,D78,E78))),ISERROR(FIND(Summary!$Q$89,A78))),Summary!$R$45,IF(H78&gt;Summary!$V$3,Summary!$R$46,Summary!$R$45))*(B78+30),0)</f>
        <v>13</v>
      </c>
      <c r="H78">
        <f>IF(H77&gt;Summary!$V$4,0,H77+F77)</f>
        <v>27707</v>
      </c>
      <c r="I78" s="26">
        <f>DATE(YEAR(Summary!$V$2),MONTH(Summary!$V$2),DAY(Summary!$V$2)+INT(H78/480))</f>
        <v>43647</v>
      </c>
      <c r="J78" s="27">
        <f t="shared" si="1"/>
        <v>0.57430555555555551</v>
      </c>
    </row>
    <row r="79" spans="1:10">
      <c r="A79" t="str">
        <f>VLOOKUP(Summary!M78,Summary!$P$13:$Q$24,2)</f>
        <v>B1700-fire</v>
      </c>
      <c r="B79">
        <f>ROUND(NORMINV(Summary!M80,VLOOKUP(A79,Summary!$Q$13:$S$24,3,FALSE),VLOOKUP(A79,Summary!$Q$13:$S$24,3,FALSE)/6),-1)</f>
        <v>680</v>
      </c>
      <c r="C79" t="str">
        <f>IF(AND(H79=0,C78=Summary!$P$2),Summary!$Q$2,IF(AND(H79=0,C78=Summary!$Q$2),Summary!$R$2,C78))</f>
        <v>Neesha</v>
      </c>
      <c r="D79" t="str">
        <f>IF(C79=Summary!$P$26,VLOOKUP(Summary!M86,Summary!$Q$26:$R$27,2),IF('Run Data'!C79=Summary!$P$28,VLOOKUP(Summary!M86,Summary!$Q$28:$R$29,2),VLOOKUP(Summary!M86,Summary!$Q$30:$R$32,2)))</f>
        <v>Sprig 4</v>
      </c>
      <c r="E79" t="str">
        <f>VLOOKUP(Summary!M89,Summary!$P$42:$Q$43,2)</f>
        <v>86</v>
      </c>
      <c r="F79">
        <f>IF(LEFT(A79,3)="B60",20,IF(LEFT(A79,3)="B12",30,25))+B79*0.5+INT(Summary!M92*20)</f>
        <v>368</v>
      </c>
      <c r="G79">
        <f>ROUND(IF(OR(ISERROR(FIND(Summary!$P$89,CONCATENATE(C79,D79,E79))),ISERROR(FIND(Summary!$Q$89,A79))),Summary!$R$45,IF(H79&gt;Summary!$V$3,Summary!$R$46,Summary!$R$45))*(B79+30),0)</f>
        <v>7</v>
      </c>
      <c r="H79">
        <f>IF(H78&gt;Summary!$V$4,0,H78+F78)</f>
        <v>28381</v>
      </c>
      <c r="I79" s="26">
        <f>DATE(YEAR(Summary!$V$2),MONTH(Summary!$V$2),DAY(Summary!$V$2)+INT(H79/480))</f>
        <v>43649</v>
      </c>
      <c r="J79" s="27">
        <f t="shared" si="1"/>
        <v>0.3756944444444445</v>
      </c>
    </row>
    <row r="80" spans="1:10">
      <c r="A80" t="str">
        <f>VLOOKUP(Summary!M79,Summary!$P$13:$Q$24,2)</f>
        <v>B1200-lime</v>
      </c>
      <c r="B80">
        <f>ROUND(NORMINV(Summary!M81,VLOOKUP(A80,Summary!$Q$13:$S$24,3,FALSE),VLOOKUP(A80,Summary!$Q$13:$S$24,3,FALSE)/6),-1)</f>
        <v>710</v>
      </c>
      <c r="C80" t="str">
        <f>IF(AND(H80=0,C79=Summary!$P$2),Summary!$Q$2,IF(AND(H80=0,C79=Summary!$Q$2),Summary!$R$2,C79))</f>
        <v>Neesha</v>
      </c>
      <c r="D80" t="str">
        <f>IF(C80=Summary!$P$26,VLOOKUP(Summary!M87,Summary!$Q$26:$R$27,2),IF('Run Data'!C80=Summary!$P$28,VLOOKUP(Summary!M87,Summary!$Q$28:$R$29,2),VLOOKUP(Summary!M87,Summary!$Q$30:$R$32,2)))</f>
        <v>Sprig 1</v>
      </c>
      <c r="E80" t="str">
        <f>VLOOKUP(Summary!M90,Summary!$P$42:$Q$43,2)</f>
        <v>86</v>
      </c>
      <c r="F80">
        <f>IF(LEFT(A80,3)="B60",20,IF(LEFT(A80,3)="B12",30,25))+B80*0.5+INT(Summary!M93*20)</f>
        <v>385</v>
      </c>
      <c r="G80">
        <f>ROUND(IF(OR(ISERROR(FIND(Summary!$P$89,CONCATENATE(C80,D80,E80))),ISERROR(FIND(Summary!$Q$89,A80))),Summary!$R$45,IF(H80&gt;Summary!$V$3,Summary!$R$46,Summary!$R$45))*(B80+30),0)</f>
        <v>7</v>
      </c>
      <c r="H80">
        <f>IF(H79&gt;Summary!$V$4,0,H79+F79)</f>
        <v>28749</v>
      </c>
      <c r="I80" s="26">
        <f>DATE(YEAR(Summary!$V$2),MONTH(Summary!$V$2),DAY(Summary!$V$2)+INT(H80/480))</f>
        <v>43649</v>
      </c>
      <c r="J80" s="27">
        <f t="shared" si="1"/>
        <v>0.63124999999999998</v>
      </c>
    </row>
    <row r="81" spans="1:10">
      <c r="A81" t="str">
        <f>VLOOKUP(Summary!M80,Summary!$P$13:$Q$24,2)</f>
        <v>B1200-plum</v>
      </c>
      <c r="B81">
        <f>ROUND(NORMINV(Summary!M82,VLOOKUP(A81,Summary!$Q$13:$S$24,3,FALSE),VLOOKUP(A81,Summary!$Q$13:$S$24,3,FALSE)/6),-1)</f>
        <v>490</v>
      </c>
      <c r="C81" t="str">
        <f>IF(AND(H81=0,C80=Summary!$P$2),Summary!$Q$2,IF(AND(H81=0,C80=Summary!$Q$2),Summary!$R$2,C80))</f>
        <v>Neesha</v>
      </c>
      <c r="D81" t="str">
        <f>IF(C81=Summary!$P$26,VLOOKUP(Summary!M88,Summary!$Q$26:$R$27,2),IF('Run Data'!C81=Summary!$P$28,VLOOKUP(Summary!M88,Summary!$Q$28:$R$29,2),VLOOKUP(Summary!M88,Summary!$Q$30:$R$32,2)))</f>
        <v>Sprig 1</v>
      </c>
      <c r="E81" t="str">
        <f>VLOOKUP(Summary!M91,Summary!$P$42:$Q$43,2)</f>
        <v>87b</v>
      </c>
      <c r="F81">
        <f>IF(LEFT(A81,3)="B60",20,IF(LEFT(A81,3)="B12",30,25))+B81*0.5+INT(Summary!M94*20)</f>
        <v>276</v>
      </c>
      <c r="G81">
        <f>ROUND(IF(OR(ISERROR(FIND(Summary!$P$89,CONCATENATE(C81,D81,E81))),ISERROR(FIND(Summary!$Q$89,A81))),Summary!$R$45,IF(H81&gt;Summary!$V$3,Summary!$R$46,Summary!$R$45))*(B81+30),0)</f>
        <v>5</v>
      </c>
      <c r="H81">
        <f>IF(H80&gt;Summary!$V$4,0,H80+F80)</f>
        <v>29134</v>
      </c>
      <c r="I81" s="26">
        <f>DATE(YEAR(Summary!$V$2),MONTH(Summary!$V$2),DAY(Summary!$V$2)+INT(H81/480))</f>
        <v>43650</v>
      </c>
      <c r="J81" s="27">
        <f t="shared" ref="J81:J144" si="2">TIME(INT(MOD(H81,480)/60)+8,MOD(MOD(H81,480),60),0)</f>
        <v>0.56527777777777777</v>
      </c>
    </row>
    <row r="82" spans="1:10">
      <c r="A82" t="str">
        <f>VLOOKUP(Summary!M81,Summary!$P$13:$Q$24,2)</f>
        <v>B1200-plum</v>
      </c>
      <c r="B82">
        <f>ROUND(NORMINV(Summary!M83,VLOOKUP(A82,Summary!$Q$13:$S$24,3,FALSE),VLOOKUP(A82,Summary!$Q$13:$S$24,3,FALSE)/6),-1)</f>
        <v>510</v>
      </c>
      <c r="C82" t="str">
        <f>IF(AND(H82=0,C81=Summary!$P$2),Summary!$Q$2,IF(AND(H82=0,C81=Summary!$Q$2),Summary!$R$2,C81))</f>
        <v>Neesha</v>
      </c>
      <c r="D82" t="str">
        <f>IF(C82=Summary!$P$26,VLOOKUP(Summary!M89,Summary!$Q$26:$R$27,2),IF('Run Data'!C82=Summary!$P$28,VLOOKUP(Summary!M89,Summary!$Q$28:$R$29,2),VLOOKUP(Summary!M89,Summary!$Q$30:$R$32,2)))</f>
        <v>Sprig 1</v>
      </c>
      <c r="E82" t="str">
        <f>VLOOKUP(Summary!M92,Summary!$P$42:$Q$43,2)</f>
        <v>86</v>
      </c>
      <c r="F82">
        <f>IF(LEFT(A82,3)="B60",20,IF(LEFT(A82,3)="B12",30,25))+B82*0.5+INT(Summary!M95*20)</f>
        <v>286</v>
      </c>
      <c r="G82">
        <f>ROUND(IF(OR(ISERROR(FIND(Summary!$P$89,CONCATENATE(C82,D82,E82))),ISERROR(FIND(Summary!$Q$89,A82))),Summary!$R$45,IF(H82&gt;Summary!$V$3,Summary!$R$46,Summary!$R$45))*(B82+30),0)</f>
        <v>5</v>
      </c>
      <c r="H82">
        <f>IF(H81&gt;Summary!$V$4,0,H81+F81)</f>
        <v>29410</v>
      </c>
      <c r="I82" s="26">
        <f>DATE(YEAR(Summary!$V$2),MONTH(Summary!$V$2),DAY(Summary!$V$2)+INT(H82/480))</f>
        <v>43651</v>
      </c>
      <c r="J82" s="27">
        <f t="shared" si="2"/>
        <v>0.4236111111111111</v>
      </c>
    </row>
    <row r="83" spans="1:10">
      <c r="A83" t="str">
        <f>VLOOKUP(Summary!M82,Summary!$P$13:$Q$24,2)</f>
        <v>B1700-plum</v>
      </c>
      <c r="B83">
        <f>ROUND(NORMINV(Summary!M84,VLOOKUP(A83,Summary!$Q$13:$S$24,3,FALSE),VLOOKUP(A83,Summary!$Q$13:$S$24,3,FALSE)/6),-1)</f>
        <v>320</v>
      </c>
      <c r="C83" t="str">
        <f>IF(AND(H83=0,C82=Summary!$P$2),Summary!$Q$2,IF(AND(H83=0,C82=Summary!$Q$2),Summary!$R$2,C82))</f>
        <v>Neesha</v>
      </c>
      <c r="D83" t="str">
        <f>IF(C83=Summary!$P$26,VLOOKUP(Summary!M90,Summary!$Q$26:$R$27,2),IF('Run Data'!C83=Summary!$P$28,VLOOKUP(Summary!M90,Summary!$Q$28:$R$29,2),VLOOKUP(Summary!M90,Summary!$Q$30:$R$32,2)))</f>
        <v>Sprig 1</v>
      </c>
      <c r="E83" t="str">
        <f>VLOOKUP(Summary!M93,Summary!$P$42:$Q$43,2)</f>
        <v>86</v>
      </c>
      <c r="F83">
        <f>IF(LEFT(A83,3)="B60",20,IF(LEFT(A83,3)="B12",30,25))+B83*0.5+INT(Summary!M96*20)</f>
        <v>195</v>
      </c>
      <c r="G83">
        <f>ROUND(IF(OR(ISERROR(FIND(Summary!$P$89,CONCATENATE(C83,D83,E83))),ISERROR(FIND(Summary!$Q$89,A83))),Summary!$R$45,IF(H83&gt;Summary!$V$3,Summary!$R$46,Summary!$R$45))*(B83+30),0)</f>
        <v>4</v>
      </c>
      <c r="H83">
        <f>IF(H82&gt;Summary!$V$4,0,H82+F82)</f>
        <v>29696</v>
      </c>
      <c r="I83" s="26">
        <f>DATE(YEAR(Summary!$V$2),MONTH(Summary!$V$2),DAY(Summary!$V$2)+INT(H83/480))</f>
        <v>43651</v>
      </c>
      <c r="J83" s="27">
        <f t="shared" si="2"/>
        <v>0.62222222222222223</v>
      </c>
    </row>
    <row r="84" spans="1:10">
      <c r="A84" t="str">
        <f>VLOOKUP(Summary!M83,Summary!$P$13:$Q$24,2)</f>
        <v>B1700-sky</v>
      </c>
      <c r="B84">
        <f>ROUND(NORMINV(Summary!M85,VLOOKUP(A84,Summary!$Q$13:$S$24,3,FALSE),VLOOKUP(A84,Summary!$Q$13:$S$24,3,FALSE)/6),-1)</f>
        <v>510</v>
      </c>
      <c r="C84" t="str">
        <f>IF(AND(H84=0,C83=Summary!$P$2),Summary!$Q$2,IF(AND(H84=0,C83=Summary!$Q$2),Summary!$R$2,C83))</f>
        <v>Neesha</v>
      </c>
      <c r="D84" t="str">
        <f>IF(C84=Summary!$P$26,VLOOKUP(Summary!M91,Summary!$Q$26:$R$27,2),IF('Run Data'!C84=Summary!$P$28,VLOOKUP(Summary!M91,Summary!$Q$28:$R$29,2),VLOOKUP(Summary!M91,Summary!$Q$30:$R$32,2)))</f>
        <v>Sprig 4</v>
      </c>
      <c r="E84" t="str">
        <f>VLOOKUP(Summary!M94,Summary!$P$42:$Q$43,2)</f>
        <v>86</v>
      </c>
      <c r="F84">
        <f>IF(LEFT(A84,3)="B60",20,IF(LEFT(A84,3)="B12",30,25))+B84*0.5+INT(Summary!M97*20)</f>
        <v>296</v>
      </c>
      <c r="G84">
        <f>ROUND(IF(OR(ISERROR(FIND(Summary!$P$89,CONCATENATE(C84,D84,E84))),ISERROR(FIND(Summary!$Q$89,A84))),Summary!$R$45,IF(H84&gt;Summary!$V$3,Summary!$R$46,Summary!$R$45))*(B84+30),0)</f>
        <v>5</v>
      </c>
      <c r="H84">
        <f>IF(H83&gt;Summary!$V$4,0,H83+F83)</f>
        <v>29891</v>
      </c>
      <c r="I84" s="26">
        <f>DATE(YEAR(Summary!$V$2),MONTH(Summary!$V$2),DAY(Summary!$V$2)+INT(H84/480))</f>
        <v>43652</v>
      </c>
      <c r="J84" s="27">
        <f t="shared" si="2"/>
        <v>0.42430555555555555</v>
      </c>
    </row>
    <row r="85" spans="1:10">
      <c r="A85" t="str">
        <f>VLOOKUP(Summary!M84,Summary!$P$13:$Q$24,2)</f>
        <v>B1200-lime</v>
      </c>
      <c r="B85">
        <f>ROUND(NORMINV(Summary!M86,VLOOKUP(A85,Summary!$Q$13:$S$24,3,FALSE),VLOOKUP(A85,Summary!$Q$13:$S$24,3,FALSE)/6),-1)</f>
        <v>930</v>
      </c>
      <c r="C85" t="str">
        <f>IF(AND(H85=0,C84=Summary!$P$2),Summary!$Q$2,IF(AND(H85=0,C84=Summary!$Q$2),Summary!$R$2,C84))</f>
        <v>Neesha</v>
      </c>
      <c r="D85" t="str">
        <f>IF(C85=Summary!$P$26,VLOOKUP(Summary!M92,Summary!$Q$26:$R$27,2),IF('Run Data'!C85=Summary!$P$28,VLOOKUP(Summary!M92,Summary!$Q$28:$R$29,2),VLOOKUP(Summary!M92,Summary!$Q$30:$R$32,2)))</f>
        <v>Sprig 1</v>
      </c>
      <c r="E85" t="str">
        <f>VLOOKUP(Summary!M95,Summary!$P$42:$Q$43,2)</f>
        <v>86</v>
      </c>
      <c r="F85">
        <f>IF(LEFT(A85,3)="B60",20,IF(LEFT(A85,3)="B12",30,25))+B85*0.5+INT(Summary!M98*20)</f>
        <v>510</v>
      </c>
      <c r="G85">
        <f>ROUND(IF(OR(ISERROR(FIND(Summary!$P$89,CONCATENATE(C85,D85,E85))),ISERROR(FIND(Summary!$Q$89,A85))),Summary!$R$45,IF(H85&gt;Summary!$V$3,Summary!$R$46,Summary!$R$45))*(B85+30),0)</f>
        <v>10</v>
      </c>
      <c r="H85">
        <f>IF(H84&gt;Summary!$V$4,0,H84+F84)</f>
        <v>30187</v>
      </c>
      <c r="I85" s="26">
        <f>DATE(YEAR(Summary!$V$2),MONTH(Summary!$V$2),DAY(Summary!$V$2)+INT(H85/480))</f>
        <v>43652</v>
      </c>
      <c r="J85" s="27">
        <f t="shared" si="2"/>
        <v>0.62986111111111109</v>
      </c>
    </row>
    <row r="86" spans="1:10">
      <c r="A86" t="str">
        <f>VLOOKUP(Summary!M85,Summary!$P$13:$Q$24,2)</f>
        <v>B1200-plum</v>
      </c>
      <c r="B86">
        <f>ROUND(NORMINV(Summary!M87,VLOOKUP(A86,Summary!$Q$13:$S$24,3,FALSE),VLOOKUP(A86,Summary!$Q$13:$S$24,3,FALSE)/6),-1)</f>
        <v>480</v>
      </c>
      <c r="C86" t="str">
        <f>IF(AND(H86=0,C85=Summary!$P$2),Summary!$Q$2,IF(AND(H86=0,C85=Summary!$Q$2),Summary!$R$2,C85))</f>
        <v>Neesha</v>
      </c>
      <c r="D86" t="str">
        <f>IF(C86=Summary!$P$26,VLOOKUP(Summary!M93,Summary!$Q$26:$R$27,2),IF('Run Data'!C86=Summary!$P$28,VLOOKUP(Summary!M93,Summary!$Q$28:$R$29,2),VLOOKUP(Summary!M93,Summary!$Q$30:$R$32,2)))</f>
        <v>Sprig 1</v>
      </c>
      <c r="E86" t="str">
        <f>VLOOKUP(Summary!M96,Summary!$P$42:$Q$43,2)</f>
        <v>86</v>
      </c>
      <c r="F86">
        <f>IF(LEFT(A86,3)="B60",20,IF(LEFT(A86,3)="B12",30,25))+B86*0.5+INT(Summary!M99*20)</f>
        <v>281</v>
      </c>
      <c r="G86">
        <f>ROUND(IF(OR(ISERROR(FIND(Summary!$P$89,CONCATENATE(C86,D86,E86))),ISERROR(FIND(Summary!$Q$89,A86))),Summary!$R$45,IF(H86&gt;Summary!$V$3,Summary!$R$46,Summary!$R$45))*(B86+30),0)</f>
        <v>5</v>
      </c>
      <c r="H86">
        <f>IF(H85&gt;Summary!$V$4,0,H85+F85)</f>
        <v>30697</v>
      </c>
      <c r="I86" s="26">
        <f>DATE(YEAR(Summary!$V$2),MONTH(Summary!$V$2),DAY(Summary!$V$2)+INT(H86/480))</f>
        <v>43653</v>
      </c>
      <c r="J86" s="27">
        <f t="shared" si="2"/>
        <v>0.65069444444444446</v>
      </c>
    </row>
    <row r="87" spans="1:10">
      <c r="A87" t="str">
        <f>VLOOKUP(Summary!M86,Summary!$P$13:$Q$24,2)</f>
        <v>B1700-sky</v>
      </c>
      <c r="B87">
        <f>ROUND(NORMINV(Summary!M88,VLOOKUP(A87,Summary!$Q$13:$S$24,3,FALSE),VLOOKUP(A87,Summary!$Q$13:$S$24,3,FALSE)/6),-1)</f>
        <v>400</v>
      </c>
      <c r="C87" t="str">
        <f>IF(AND(H87=0,C86=Summary!$P$2),Summary!$Q$2,IF(AND(H87=0,C86=Summary!$Q$2),Summary!$R$2,C86))</f>
        <v>Neesha</v>
      </c>
      <c r="D87" t="str">
        <f>IF(C87=Summary!$P$26,VLOOKUP(Summary!M94,Summary!$Q$26:$R$27,2),IF('Run Data'!C87=Summary!$P$28,VLOOKUP(Summary!M94,Summary!$Q$28:$R$29,2),VLOOKUP(Summary!M94,Summary!$Q$30:$R$32,2)))</f>
        <v>Sprig 1</v>
      </c>
      <c r="E87" t="str">
        <f>VLOOKUP(Summary!M97,Summary!$P$42:$Q$43,2)</f>
        <v>86</v>
      </c>
      <c r="F87">
        <f>IF(LEFT(A87,3)="B60",20,IF(LEFT(A87,3)="B12",30,25))+B87*0.5+INT(Summary!M100*20)</f>
        <v>239</v>
      </c>
      <c r="G87">
        <f>ROUND(IF(OR(ISERROR(FIND(Summary!$P$89,CONCATENATE(C87,D87,E87))),ISERROR(FIND(Summary!$Q$89,A87))),Summary!$R$45,IF(H87&gt;Summary!$V$3,Summary!$R$46,Summary!$R$45))*(B87+30),0)</f>
        <v>4</v>
      </c>
      <c r="H87">
        <f>IF(H86&gt;Summary!$V$4,0,H86+F86)</f>
        <v>30978</v>
      </c>
      <c r="I87" s="26">
        <f>DATE(YEAR(Summary!$V$2),MONTH(Summary!$V$2),DAY(Summary!$V$2)+INT(H87/480))</f>
        <v>43654</v>
      </c>
      <c r="J87" s="27">
        <f t="shared" si="2"/>
        <v>0.51250000000000007</v>
      </c>
    </row>
    <row r="88" spans="1:10">
      <c r="A88" t="str">
        <f>VLOOKUP(Summary!M87,Summary!$P$13:$Q$24,2)</f>
        <v>B1200-lime</v>
      </c>
      <c r="B88">
        <f>ROUND(NORMINV(Summary!M89,VLOOKUP(A88,Summary!$Q$13:$S$24,3,FALSE),VLOOKUP(A88,Summary!$Q$13:$S$24,3,FALSE)/6),-1)</f>
        <v>860</v>
      </c>
      <c r="C88" t="str">
        <f>IF(AND(H88=0,C87=Summary!$P$2),Summary!$Q$2,IF(AND(H88=0,C87=Summary!$Q$2),Summary!$R$2,C87))</f>
        <v>Neesha</v>
      </c>
      <c r="D88" t="str">
        <f>IF(C88=Summary!$P$26,VLOOKUP(Summary!M95,Summary!$Q$26:$R$27,2),IF('Run Data'!C88=Summary!$P$28,VLOOKUP(Summary!M95,Summary!$Q$28:$R$29,2),VLOOKUP(Summary!M95,Summary!$Q$30:$R$32,2)))</f>
        <v>Sprig 1</v>
      </c>
      <c r="E88" t="str">
        <f>VLOOKUP(Summary!M98,Summary!$P$42:$Q$43,2)</f>
        <v>86</v>
      </c>
      <c r="F88">
        <f>IF(LEFT(A88,3)="B60",20,IF(LEFT(A88,3)="B12",30,25))+B88*0.5+INT(Summary!M101*20)</f>
        <v>464</v>
      </c>
      <c r="G88">
        <f>ROUND(IF(OR(ISERROR(FIND(Summary!$P$89,CONCATENATE(C88,D88,E88))),ISERROR(FIND(Summary!$Q$89,A88))),Summary!$R$45,IF(H88&gt;Summary!$V$3,Summary!$R$46,Summary!$R$45))*(B88+30),0)</f>
        <v>9</v>
      </c>
      <c r="H88">
        <f>IF(H87&gt;Summary!$V$4,0,H87+F87)</f>
        <v>31217</v>
      </c>
      <c r="I88" s="26">
        <f>DATE(YEAR(Summary!$V$2),MONTH(Summary!$V$2),DAY(Summary!$V$2)+INT(H88/480))</f>
        <v>43655</v>
      </c>
      <c r="J88" s="27">
        <f t="shared" si="2"/>
        <v>0.34513888888888888</v>
      </c>
    </row>
    <row r="89" spans="1:10">
      <c r="A89" t="str">
        <f>VLOOKUP(Summary!M88,Summary!$P$13:$Q$24,2)</f>
        <v>B600-plum</v>
      </c>
      <c r="B89">
        <f>ROUND(NORMINV(Summary!M90,VLOOKUP(A89,Summary!$Q$13:$S$24,3,FALSE),VLOOKUP(A89,Summary!$Q$13:$S$24,3,FALSE)/6),-1)</f>
        <v>170</v>
      </c>
      <c r="C89" t="str">
        <f>IF(AND(H89=0,C88=Summary!$P$2),Summary!$Q$2,IF(AND(H89=0,C88=Summary!$Q$2),Summary!$R$2,C88))</f>
        <v>Neesha</v>
      </c>
      <c r="D89" t="str">
        <f>IF(C89=Summary!$P$26,VLOOKUP(Summary!M96,Summary!$Q$26:$R$27,2),IF('Run Data'!C89=Summary!$P$28,VLOOKUP(Summary!M96,Summary!$Q$28:$R$29,2),VLOOKUP(Summary!M96,Summary!$Q$30:$R$32,2)))</f>
        <v>Sprig 1</v>
      </c>
      <c r="E89" t="str">
        <f>VLOOKUP(Summary!M99,Summary!$P$42:$Q$43,2)</f>
        <v>86</v>
      </c>
      <c r="F89">
        <f>IF(LEFT(A89,3)="B60",20,IF(LEFT(A89,3)="B12",30,25))+B89*0.5+INT(Summary!M102*20)</f>
        <v>106</v>
      </c>
      <c r="G89">
        <f>ROUND(IF(OR(ISERROR(FIND(Summary!$P$89,CONCATENATE(C89,D89,E89))),ISERROR(FIND(Summary!$Q$89,A89))),Summary!$R$45,IF(H89&gt;Summary!$V$3,Summary!$R$46,Summary!$R$45))*(B89+30),0)</f>
        <v>2</v>
      </c>
      <c r="H89">
        <f>IF(H88&gt;Summary!$V$4,0,H88+F88)</f>
        <v>31681</v>
      </c>
      <c r="I89" s="26">
        <f>DATE(YEAR(Summary!$V$2),MONTH(Summary!$V$2),DAY(Summary!$V$2)+INT(H89/480))</f>
        <v>43656</v>
      </c>
      <c r="J89" s="27">
        <f t="shared" si="2"/>
        <v>0.33402777777777781</v>
      </c>
    </row>
    <row r="90" spans="1:10">
      <c r="A90" t="str">
        <f>VLOOKUP(Summary!M89,Summary!$P$13:$Q$24,2)</f>
        <v>B1200-lime</v>
      </c>
      <c r="B90">
        <f>ROUND(NORMINV(Summary!M91,VLOOKUP(A90,Summary!$Q$13:$S$24,3,FALSE),VLOOKUP(A90,Summary!$Q$13:$S$24,3,FALSE)/6),-1)</f>
        <v>1100</v>
      </c>
      <c r="C90" t="str">
        <f>IF(AND(H90=0,C89=Summary!$P$2),Summary!$Q$2,IF(AND(H90=0,C89=Summary!$Q$2),Summary!$R$2,C89))</f>
        <v>Neesha</v>
      </c>
      <c r="D90" t="str">
        <f>IF(C90=Summary!$P$26,VLOOKUP(Summary!M97,Summary!$Q$26:$R$27,2),IF('Run Data'!C90=Summary!$P$28,VLOOKUP(Summary!M97,Summary!$Q$28:$R$29,2),VLOOKUP(Summary!M97,Summary!$Q$30:$R$32,2)))</f>
        <v>Sprig 4</v>
      </c>
      <c r="E90" t="str">
        <f>VLOOKUP(Summary!M100,Summary!$P$42:$Q$43,2)</f>
        <v>86</v>
      </c>
      <c r="F90">
        <f>IF(LEFT(A90,3)="B60",20,IF(LEFT(A90,3)="B12",30,25))+B90*0.5+INT(Summary!M103*20)</f>
        <v>589</v>
      </c>
      <c r="G90">
        <f>ROUND(IF(OR(ISERROR(FIND(Summary!$P$89,CONCATENATE(C90,D90,E90))),ISERROR(FIND(Summary!$Q$89,A90))),Summary!$R$45,IF(H90&gt;Summary!$V$3,Summary!$R$46,Summary!$R$45))*(B90+30),0)</f>
        <v>11</v>
      </c>
      <c r="H90">
        <f>IF(H89&gt;Summary!$V$4,0,H89+F89)</f>
        <v>31787</v>
      </c>
      <c r="I90" s="26">
        <f>DATE(YEAR(Summary!$V$2),MONTH(Summary!$V$2),DAY(Summary!$V$2)+INT(H90/480))</f>
        <v>43656</v>
      </c>
      <c r="J90" s="27">
        <f t="shared" si="2"/>
        <v>0.40763888888888888</v>
      </c>
    </row>
    <row r="91" spans="1:10">
      <c r="A91" t="str">
        <f>VLOOKUP(Summary!M90,Summary!$P$13:$Q$24,2)</f>
        <v>B600-lime</v>
      </c>
      <c r="B91">
        <f>ROUND(NORMINV(Summary!M92,VLOOKUP(A91,Summary!$Q$13:$S$24,3,FALSE),VLOOKUP(A91,Summary!$Q$13:$S$24,3,FALSE)/6),-1)</f>
        <v>260</v>
      </c>
      <c r="C91" t="str">
        <f>IF(AND(H91=0,C90=Summary!$P$2),Summary!$Q$2,IF(AND(H91=0,C90=Summary!$Q$2),Summary!$R$2,C90))</f>
        <v>Neesha</v>
      </c>
      <c r="D91" t="str">
        <f>IF(C91=Summary!$P$26,VLOOKUP(Summary!M98,Summary!$Q$26:$R$27,2),IF('Run Data'!C91=Summary!$P$28,VLOOKUP(Summary!M98,Summary!$Q$28:$R$29,2),VLOOKUP(Summary!M98,Summary!$Q$30:$R$32,2)))</f>
        <v>Sprig 4</v>
      </c>
      <c r="E91" t="str">
        <f>VLOOKUP(Summary!M101,Summary!$P$42:$Q$43,2)</f>
        <v>86</v>
      </c>
      <c r="F91">
        <f>IF(LEFT(A91,3)="B60",20,IF(LEFT(A91,3)="B12",30,25))+B91*0.5+INT(Summary!M104*20)</f>
        <v>169</v>
      </c>
      <c r="G91">
        <f>ROUND(IF(OR(ISERROR(FIND(Summary!$P$89,CONCATENATE(C91,D91,E91))),ISERROR(FIND(Summary!$Q$89,A91))),Summary!$R$45,IF(H91&gt;Summary!$V$3,Summary!$R$46,Summary!$R$45))*(B91+30),0)</f>
        <v>3</v>
      </c>
      <c r="H91">
        <f>IF(H90&gt;Summary!$V$4,0,H90+F90)</f>
        <v>32376</v>
      </c>
      <c r="I91" s="26">
        <f>DATE(YEAR(Summary!$V$2),MONTH(Summary!$V$2),DAY(Summary!$V$2)+INT(H91/480))</f>
        <v>43657</v>
      </c>
      <c r="J91" s="27">
        <f t="shared" si="2"/>
        <v>0.48333333333333334</v>
      </c>
    </row>
    <row r="92" spans="1:10">
      <c r="A92" t="str">
        <f>VLOOKUP(Summary!M91,Summary!$P$13:$Q$24,2)</f>
        <v>B1700-lime</v>
      </c>
      <c r="B92">
        <f>ROUND(NORMINV(Summary!M93,VLOOKUP(A92,Summary!$Q$13:$S$24,3,FALSE),VLOOKUP(A92,Summary!$Q$13:$S$24,3,FALSE)/6),-1)</f>
        <v>260</v>
      </c>
      <c r="C92" t="str">
        <f>IF(AND(H92=0,C91=Summary!$P$2),Summary!$Q$2,IF(AND(H92=0,C91=Summary!$Q$2),Summary!$R$2,C91))</f>
        <v>Neesha</v>
      </c>
      <c r="D92" t="str">
        <f>IF(C92=Summary!$P$26,VLOOKUP(Summary!M99,Summary!$Q$26:$R$27,2),IF('Run Data'!C92=Summary!$P$28,VLOOKUP(Summary!M99,Summary!$Q$28:$R$29,2),VLOOKUP(Summary!M99,Summary!$Q$30:$R$32,2)))</f>
        <v>Sprig 1</v>
      </c>
      <c r="E92" t="str">
        <f>VLOOKUP(Summary!M102,Summary!$P$42:$Q$43,2)</f>
        <v>86</v>
      </c>
      <c r="F92">
        <f>IF(LEFT(A92,3)="B60",20,IF(LEFT(A92,3)="B12",30,25))+B92*0.5+INT(Summary!M105*20)</f>
        <v>165</v>
      </c>
      <c r="G92">
        <f>ROUND(IF(OR(ISERROR(FIND(Summary!$P$89,CONCATENATE(C92,D92,E92))),ISERROR(FIND(Summary!$Q$89,A92))),Summary!$R$45,IF(H92&gt;Summary!$V$3,Summary!$R$46,Summary!$R$45))*(B92+30),0)</f>
        <v>3</v>
      </c>
      <c r="H92">
        <f>IF(H91&gt;Summary!$V$4,0,H91+F91)</f>
        <v>32545</v>
      </c>
      <c r="I92" s="26">
        <f>DATE(YEAR(Summary!$V$2),MONTH(Summary!$V$2),DAY(Summary!$V$2)+INT(H92/480))</f>
        <v>43657</v>
      </c>
      <c r="J92" s="27">
        <f t="shared" si="2"/>
        <v>0.60069444444444442</v>
      </c>
    </row>
    <row r="93" spans="1:10">
      <c r="A93" t="str">
        <f>VLOOKUP(Summary!M92,Summary!$P$13:$Q$24,2)</f>
        <v>B600-lime</v>
      </c>
      <c r="B93">
        <f>ROUND(NORMINV(Summary!M94,VLOOKUP(A93,Summary!$Q$13:$S$24,3,FALSE),VLOOKUP(A93,Summary!$Q$13:$S$24,3,FALSE)/6),-1)</f>
        <v>230</v>
      </c>
      <c r="C93" t="str">
        <f>IF(AND(H93=0,C92=Summary!$P$2),Summary!$Q$2,IF(AND(H93=0,C92=Summary!$Q$2),Summary!$R$2,C92))</f>
        <v>Neesha</v>
      </c>
      <c r="D93" t="str">
        <f>IF(C93=Summary!$P$26,VLOOKUP(Summary!M100,Summary!$Q$26:$R$27,2),IF('Run Data'!C93=Summary!$P$28,VLOOKUP(Summary!M100,Summary!$Q$28:$R$29,2),VLOOKUP(Summary!M100,Summary!$Q$30:$R$32,2)))</f>
        <v>Sprig 1</v>
      </c>
      <c r="E93" t="str">
        <f>VLOOKUP(Summary!M103,Summary!$P$42:$Q$43,2)</f>
        <v>86</v>
      </c>
      <c r="F93">
        <f>IF(LEFT(A93,3)="B60",20,IF(LEFT(A93,3)="B12",30,25))+B93*0.5+INT(Summary!M106*20)</f>
        <v>139</v>
      </c>
      <c r="G93">
        <f>ROUND(IF(OR(ISERROR(FIND(Summary!$P$89,CONCATENATE(C93,D93,E93))),ISERROR(FIND(Summary!$Q$89,A93))),Summary!$R$45,IF(H93&gt;Summary!$V$3,Summary!$R$46,Summary!$R$45))*(B93+30),0)</f>
        <v>3</v>
      </c>
      <c r="H93">
        <f>IF(H92&gt;Summary!$V$4,0,H92+F92)</f>
        <v>32710</v>
      </c>
      <c r="I93" s="26">
        <f>DATE(YEAR(Summary!$V$2),MONTH(Summary!$V$2),DAY(Summary!$V$2)+INT(H93/480))</f>
        <v>43658</v>
      </c>
      <c r="J93" s="27">
        <f t="shared" si="2"/>
        <v>0.38194444444444442</v>
      </c>
    </row>
    <row r="94" spans="1:10">
      <c r="A94" t="str">
        <f>VLOOKUP(Summary!M93,Summary!$P$13:$Q$24,2)</f>
        <v>B600-plum</v>
      </c>
      <c r="B94">
        <f>ROUND(NORMINV(Summary!M95,VLOOKUP(A94,Summary!$Q$13:$S$24,3,FALSE),VLOOKUP(A94,Summary!$Q$13:$S$24,3,FALSE)/6),-1)</f>
        <v>150</v>
      </c>
      <c r="C94" t="str">
        <f>IF(AND(H94=0,C93=Summary!$P$2),Summary!$Q$2,IF(AND(H94=0,C93=Summary!$Q$2),Summary!$R$2,C93))</f>
        <v>Neesha</v>
      </c>
      <c r="D94" t="str">
        <f>IF(C94=Summary!$P$26,VLOOKUP(Summary!M101,Summary!$Q$26:$R$27,2),IF('Run Data'!C94=Summary!$P$28,VLOOKUP(Summary!M101,Summary!$Q$28:$R$29,2),VLOOKUP(Summary!M101,Summary!$Q$30:$R$32,2)))</f>
        <v>Sprig 1</v>
      </c>
      <c r="E94" t="str">
        <f>VLOOKUP(Summary!M104,Summary!$P$42:$Q$43,2)</f>
        <v>87b</v>
      </c>
      <c r="F94">
        <f>IF(LEFT(A94,3)="B60",20,IF(LEFT(A94,3)="B12",30,25))+B94*0.5+INT(Summary!M107*20)</f>
        <v>111</v>
      </c>
      <c r="G94">
        <f>ROUND(IF(OR(ISERROR(FIND(Summary!$P$89,CONCATENATE(C94,D94,E94))),ISERROR(FIND(Summary!$Q$89,A94))),Summary!$R$45,IF(H94&gt;Summary!$V$3,Summary!$R$46,Summary!$R$45))*(B94+30),0)</f>
        <v>2</v>
      </c>
      <c r="H94">
        <f>IF(H93&gt;Summary!$V$4,0,H93+F93)</f>
        <v>32849</v>
      </c>
      <c r="I94" s="26">
        <f>DATE(YEAR(Summary!$V$2),MONTH(Summary!$V$2),DAY(Summary!$V$2)+INT(H94/480))</f>
        <v>43658</v>
      </c>
      <c r="J94" s="27">
        <f t="shared" si="2"/>
        <v>0.47847222222222219</v>
      </c>
    </row>
    <row r="95" spans="1:10">
      <c r="A95" t="str">
        <f>VLOOKUP(Summary!M94,Summary!$P$13:$Q$24,2)</f>
        <v>B600-sky</v>
      </c>
      <c r="B95">
        <f>ROUND(NORMINV(Summary!M96,VLOOKUP(A95,Summary!$Q$13:$S$24,3,FALSE),VLOOKUP(A95,Summary!$Q$13:$S$24,3,FALSE)/6),-1)</f>
        <v>510</v>
      </c>
      <c r="C95" t="str">
        <f>IF(AND(H95=0,C94=Summary!$P$2),Summary!$Q$2,IF(AND(H95=0,C94=Summary!$Q$2),Summary!$R$2,C94))</f>
        <v>Neesha</v>
      </c>
      <c r="D95" t="str">
        <f>IF(C95=Summary!$P$26,VLOOKUP(Summary!M102,Summary!$Q$26:$R$27,2),IF('Run Data'!C95=Summary!$P$28,VLOOKUP(Summary!M102,Summary!$Q$28:$R$29,2),VLOOKUP(Summary!M102,Summary!$Q$30:$R$32,2)))</f>
        <v>Sprig 1</v>
      </c>
      <c r="E95" t="str">
        <f>VLOOKUP(Summary!M105,Summary!$P$42:$Q$43,2)</f>
        <v>86</v>
      </c>
      <c r="F95">
        <f>IF(LEFT(A95,3)="B60",20,IF(LEFT(A95,3)="B12",30,25))+B95*0.5+INT(Summary!M108*20)</f>
        <v>288</v>
      </c>
      <c r="G95">
        <f>ROUND(IF(OR(ISERROR(FIND(Summary!$P$89,CONCATENATE(C95,D95,E95))),ISERROR(FIND(Summary!$Q$89,A95))),Summary!$R$45,IF(H95&gt;Summary!$V$3,Summary!$R$46,Summary!$R$45))*(B95+30),0)</f>
        <v>5</v>
      </c>
      <c r="H95">
        <f>IF(H94&gt;Summary!$V$4,0,H94+F94)</f>
        <v>32960</v>
      </c>
      <c r="I95" s="26">
        <f>DATE(YEAR(Summary!$V$2),MONTH(Summary!$V$2),DAY(Summary!$V$2)+INT(H95/480))</f>
        <v>43658</v>
      </c>
      <c r="J95" s="27">
        <f t="shared" si="2"/>
        <v>0.55555555555555558</v>
      </c>
    </row>
    <row r="96" spans="1:10">
      <c r="A96" t="str">
        <f>VLOOKUP(Summary!M95,Summary!$P$13:$Q$24,2)</f>
        <v>B600-sky</v>
      </c>
      <c r="B96">
        <f>ROUND(NORMINV(Summary!M97,VLOOKUP(A96,Summary!$Q$13:$S$24,3,FALSE),VLOOKUP(A96,Summary!$Q$13:$S$24,3,FALSE)/6),-1)</f>
        <v>580</v>
      </c>
      <c r="C96" t="str">
        <f>IF(AND(H96=0,C95=Summary!$P$2),Summary!$Q$2,IF(AND(H96=0,C95=Summary!$Q$2),Summary!$R$2,C95))</f>
        <v>Neesha</v>
      </c>
      <c r="D96" t="str">
        <f>IF(C96=Summary!$P$26,VLOOKUP(Summary!M103,Summary!$Q$26:$R$27,2),IF('Run Data'!C96=Summary!$P$28,VLOOKUP(Summary!M103,Summary!$Q$28:$R$29,2),VLOOKUP(Summary!M103,Summary!$Q$30:$R$32,2)))</f>
        <v>Sprig 1</v>
      </c>
      <c r="E96" t="str">
        <f>VLOOKUP(Summary!M106,Summary!$P$42:$Q$43,2)</f>
        <v>86</v>
      </c>
      <c r="F96">
        <f>IF(LEFT(A96,3)="B60",20,IF(LEFT(A96,3)="B12",30,25))+B96*0.5+INT(Summary!M109*20)</f>
        <v>323</v>
      </c>
      <c r="G96">
        <f>ROUND(IF(OR(ISERROR(FIND(Summary!$P$89,CONCATENATE(C96,D96,E96))),ISERROR(FIND(Summary!$Q$89,A96))),Summary!$R$45,IF(H96&gt;Summary!$V$3,Summary!$R$46,Summary!$R$45))*(B96+30),0)</f>
        <v>6</v>
      </c>
      <c r="H96">
        <f>IF(H95&gt;Summary!$V$4,0,H95+F95)</f>
        <v>33248</v>
      </c>
      <c r="I96" s="26">
        <f>DATE(YEAR(Summary!$V$2),MONTH(Summary!$V$2),DAY(Summary!$V$2)+INT(H96/480))</f>
        <v>43659</v>
      </c>
      <c r="J96" s="27">
        <f t="shared" si="2"/>
        <v>0.42222222222222222</v>
      </c>
    </row>
    <row r="97" spans="1:10">
      <c r="A97" t="str">
        <f>VLOOKUP(Summary!M96,Summary!$P$13:$Q$24,2)</f>
        <v>B1200-fire</v>
      </c>
      <c r="B97">
        <f>ROUND(NORMINV(Summary!M98,VLOOKUP(A97,Summary!$Q$13:$S$24,3,FALSE),VLOOKUP(A97,Summary!$Q$13:$S$24,3,FALSE)/6),-1)</f>
        <v>1360</v>
      </c>
      <c r="C97" t="str">
        <f>IF(AND(H97=0,C96=Summary!$P$2),Summary!$Q$2,IF(AND(H97=0,C96=Summary!$Q$2),Summary!$R$2,C96))</f>
        <v>Neesha</v>
      </c>
      <c r="D97" t="str">
        <f>IF(C97=Summary!$P$26,VLOOKUP(Summary!M104,Summary!$Q$26:$R$27,2),IF('Run Data'!C97=Summary!$P$28,VLOOKUP(Summary!M104,Summary!$Q$28:$R$29,2),VLOOKUP(Summary!M104,Summary!$Q$30:$R$32,2)))</f>
        <v>Sprig 4</v>
      </c>
      <c r="E97" t="str">
        <f>VLOOKUP(Summary!M107,Summary!$P$42:$Q$43,2)</f>
        <v>86</v>
      </c>
      <c r="F97">
        <f>IF(LEFT(A97,3)="B60",20,IF(LEFT(A97,3)="B12",30,25))+B97*0.5+INT(Summary!M110*20)</f>
        <v>726</v>
      </c>
      <c r="G97">
        <f>ROUND(IF(OR(ISERROR(FIND(Summary!$P$89,CONCATENATE(C97,D97,E97))),ISERROR(FIND(Summary!$Q$89,A97))),Summary!$R$45,IF(H97&gt;Summary!$V$3,Summary!$R$46,Summary!$R$45))*(B97+30),0)</f>
        <v>14</v>
      </c>
      <c r="H97">
        <f>IF(H96&gt;Summary!$V$4,0,H96+F96)</f>
        <v>33571</v>
      </c>
      <c r="I97" s="26">
        <f>DATE(YEAR(Summary!$V$2),MONTH(Summary!$V$2),DAY(Summary!$V$2)+INT(H97/480))</f>
        <v>43659</v>
      </c>
      <c r="J97" s="27">
        <f t="shared" si="2"/>
        <v>0.64652777777777781</v>
      </c>
    </row>
    <row r="98" spans="1:10">
      <c r="A98" t="str">
        <f>VLOOKUP(Summary!M97,Summary!$P$13:$Q$24,2)</f>
        <v>B1700-sky</v>
      </c>
      <c r="B98">
        <f>ROUND(NORMINV(Summary!M99,VLOOKUP(A98,Summary!$Q$13:$S$24,3,FALSE),VLOOKUP(A98,Summary!$Q$13:$S$24,3,FALSE)/6),-1)</f>
        <v>560</v>
      </c>
      <c r="C98" t="str">
        <f>IF(AND(H98=0,C97=Summary!$P$2),Summary!$Q$2,IF(AND(H98=0,C97=Summary!$Q$2),Summary!$R$2,C97))</f>
        <v>Neesha</v>
      </c>
      <c r="D98" t="str">
        <f>IF(C98=Summary!$P$26,VLOOKUP(Summary!M105,Summary!$Q$26:$R$27,2),IF('Run Data'!C98=Summary!$P$28,VLOOKUP(Summary!M105,Summary!$Q$28:$R$29,2),VLOOKUP(Summary!M105,Summary!$Q$30:$R$32,2)))</f>
        <v>Sprig 1</v>
      </c>
      <c r="E98" t="str">
        <f>VLOOKUP(Summary!M108,Summary!$P$42:$Q$43,2)</f>
        <v>86</v>
      </c>
      <c r="F98">
        <f>IF(LEFT(A98,3)="B60",20,IF(LEFT(A98,3)="B12",30,25))+B98*0.5+INT(Summary!M111*20)</f>
        <v>312</v>
      </c>
      <c r="G98">
        <f>ROUND(IF(OR(ISERROR(FIND(Summary!$P$89,CONCATENATE(C98,D98,E98))),ISERROR(FIND(Summary!$Q$89,A98))),Summary!$R$45,IF(H98&gt;Summary!$V$3,Summary!$R$46,Summary!$R$45))*(B98+30),0)</f>
        <v>6</v>
      </c>
      <c r="H98">
        <f>IF(H97&gt;Summary!$V$4,0,H97+F97)</f>
        <v>34297</v>
      </c>
      <c r="I98" s="26">
        <f>DATE(YEAR(Summary!$V$2),MONTH(Summary!$V$2),DAY(Summary!$V$2)+INT(H98/480))</f>
        <v>43661</v>
      </c>
      <c r="J98" s="27">
        <f t="shared" si="2"/>
        <v>0.48402777777777778</v>
      </c>
    </row>
    <row r="99" spans="1:10">
      <c r="A99" t="str">
        <f>VLOOKUP(Summary!M98,Summary!$P$13:$Q$24,2)</f>
        <v>B1700-sky</v>
      </c>
      <c r="B99">
        <f>ROUND(NORMINV(Summary!M100,VLOOKUP(A99,Summary!$Q$13:$S$24,3,FALSE),VLOOKUP(A99,Summary!$Q$13:$S$24,3,FALSE)/6),-1)</f>
        <v>600</v>
      </c>
      <c r="C99" t="str">
        <f>IF(AND(H99=0,C98=Summary!$P$2),Summary!$Q$2,IF(AND(H99=0,C98=Summary!$Q$2),Summary!$R$2,C98))</f>
        <v>Neesha</v>
      </c>
      <c r="D99" t="str">
        <f>IF(C99=Summary!$P$26,VLOOKUP(Summary!M106,Summary!$Q$26:$R$27,2),IF('Run Data'!C99=Summary!$P$28,VLOOKUP(Summary!M106,Summary!$Q$28:$R$29,2),VLOOKUP(Summary!M106,Summary!$Q$30:$R$32,2)))</f>
        <v>Sprig 1</v>
      </c>
      <c r="E99" t="str">
        <f>VLOOKUP(Summary!M109,Summary!$P$42:$Q$43,2)</f>
        <v>86</v>
      </c>
      <c r="F99">
        <f>IF(LEFT(A99,3)="B60",20,IF(LEFT(A99,3)="B12",30,25))+B99*0.5+INT(Summary!M112*20)</f>
        <v>343</v>
      </c>
      <c r="G99">
        <f>ROUND(IF(OR(ISERROR(FIND(Summary!$P$89,CONCATENATE(C99,D99,E99))),ISERROR(FIND(Summary!$Q$89,A99))),Summary!$R$45,IF(H99&gt;Summary!$V$3,Summary!$R$46,Summary!$R$45))*(B99+30),0)</f>
        <v>6</v>
      </c>
      <c r="H99">
        <f>IF(H98&gt;Summary!$V$4,0,H98+F98)</f>
        <v>34609</v>
      </c>
      <c r="I99" s="26">
        <f>DATE(YEAR(Summary!$V$2),MONTH(Summary!$V$2),DAY(Summary!$V$2)+INT(H99/480))</f>
        <v>43662</v>
      </c>
      <c r="J99" s="27">
        <f t="shared" si="2"/>
        <v>0.36736111111111108</v>
      </c>
    </row>
    <row r="100" spans="1:10">
      <c r="A100" t="str">
        <f>VLOOKUP(Summary!M99,Summary!$P$13:$Q$24,2)</f>
        <v>B1200-lime</v>
      </c>
      <c r="B100">
        <f>ROUND(NORMINV(Summary!M101,VLOOKUP(A100,Summary!$Q$13:$S$24,3,FALSE),VLOOKUP(A100,Summary!$Q$13:$S$24,3,FALSE)/6),-1)</f>
        <v>690</v>
      </c>
      <c r="C100" t="str">
        <f>IF(AND(H100=0,C99=Summary!$P$2),Summary!$Q$2,IF(AND(H100=0,C99=Summary!$Q$2),Summary!$R$2,C99))</f>
        <v>Neesha</v>
      </c>
      <c r="D100" t="str">
        <f>IF(C100=Summary!$P$26,VLOOKUP(Summary!M107,Summary!$Q$26:$R$27,2),IF('Run Data'!C100=Summary!$P$28,VLOOKUP(Summary!M107,Summary!$Q$28:$R$29,2),VLOOKUP(Summary!M107,Summary!$Q$30:$R$32,2)))</f>
        <v>Sprig 4</v>
      </c>
      <c r="E100" t="str">
        <f>VLOOKUP(Summary!M110,Summary!$P$42:$Q$43,2)</f>
        <v>86</v>
      </c>
      <c r="F100">
        <f>IF(LEFT(A100,3)="B60",20,IF(LEFT(A100,3)="B12",30,25))+B100*0.5+INT(Summary!M113*20)</f>
        <v>386</v>
      </c>
      <c r="G100">
        <f>ROUND(IF(OR(ISERROR(FIND(Summary!$P$89,CONCATENATE(C100,D100,E100))),ISERROR(FIND(Summary!$Q$89,A100))),Summary!$R$45,IF(H100&gt;Summary!$V$3,Summary!$R$46,Summary!$R$45))*(B100+30),0)</f>
        <v>7</v>
      </c>
      <c r="H100">
        <f>IF(H99&gt;Summary!$V$4,0,H99+F99)</f>
        <v>34952</v>
      </c>
      <c r="I100" s="26">
        <f>DATE(YEAR(Summary!$V$2),MONTH(Summary!$V$2),DAY(Summary!$V$2)+INT(H100/480))</f>
        <v>43662</v>
      </c>
      <c r="J100" s="27">
        <f t="shared" si="2"/>
        <v>0.60555555555555551</v>
      </c>
    </row>
    <row r="101" spans="1:10">
      <c r="A101" t="str">
        <f>VLOOKUP(Summary!M100,Summary!$P$13:$Q$24,2)</f>
        <v>B1700-plum</v>
      </c>
      <c r="B101">
        <f>ROUND(NORMINV(Summary!M102,VLOOKUP(A101,Summary!$Q$13:$S$24,3,FALSE),VLOOKUP(A101,Summary!$Q$13:$S$24,3,FALSE)/6),-1)</f>
        <v>220</v>
      </c>
      <c r="C101" t="str">
        <f>IF(AND(H101=0,C100=Summary!$P$2),Summary!$Q$2,IF(AND(H101=0,C100=Summary!$Q$2),Summary!$R$2,C100))</f>
        <v>Neesha</v>
      </c>
      <c r="D101" t="str">
        <f>IF(C101=Summary!$P$26,VLOOKUP(Summary!M108,Summary!$Q$26:$R$27,2),IF('Run Data'!C101=Summary!$P$28,VLOOKUP(Summary!M108,Summary!$Q$28:$R$29,2),VLOOKUP(Summary!M108,Summary!$Q$30:$R$32,2)))</f>
        <v>Sprig 1</v>
      </c>
      <c r="E101" t="str">
        <f>VLOOKUP(Summary!M111,Summary!$P$42:$Q$43,2)</f>
        <v>86</v>
      </c>
      <c r="F101">
        <f>IF(LEFT(A101,3)="B60",20,IF(LEFT(A101,3)="B12",30,25))+B101*0.5+INT(Summary!M114*20)</f>
        <v>145</v>
      </c>
      <c r="G101">
        <f>ROUND(IF(OR(ISERROR(FIND(Summary!$P$89,CONCATENATE(C101,D101,E101))),ISERROR(FIND(Summary!$Q$89,A101))),Summary!$R$45,IF(H101&gt;Summary!$V$3,Summary!$R$46,Summary!$R$45))*(B101+30),0)</f>
        <v>3</v>
      </c>
      <c r="H101">
        <f>IF(H100&gt;Summary!$V$4,0,H100+F100)</f>
        <v>35338</v>
      </c>
      <c r="I101" s="26">
        <f>DATE(YEAR(Summary!$V$2),MONTH(Summary!$V$2),DAY(Summary!$V$2)+INT(H101/480))</f>
        <v>43663</v>
      </c>
      <c r="J101" s="27">
        <f t="shared" si="2"/>
        <v>0.54027777777777775</v>
      </c>
    </row>
    <row r="102" spans="1:10">
      <c r="A102" t="str">
        <f>VLOOKUP(Summary!M101,Summary!$P$13:$Q$24,2)</f>
        <v>B600-lime</v>
      </c>
      <c r="B102">
        <f>ROUND(NORMINV(Summary!M103,VLOOKUP(A102,Summary!$Q$13:$S$24,3,FALSE),VLOOKUP(A102,Summary!$Q$13:$S$24,3,FALSE)/6),-1)</f>
        <v>300</v>
      </c>
      <c r="C102" t="str">
        <f>IF(AND(H102=0,C101=Summary!$P$2),Summary!$Q$2,IF(AND(H102=0,C101=Summary!$Q$2),Summary!$R$2,C101))</f>
        <v>Neesha</v>
      </c>
      <c r="D102" t="str">
        <f>IF(C102=Summary!$P$26,VLOOKUP(Summary!M109,Summary!$Q$26:$R$27,2),IF('Run Data'!C102=Summary!$P$28,VLOOKUP(Summary!M109,Summary!$Q$28:$R$29,2),VLOOKUP(Summary!M109,Summary!$Q$30:$R$32,2)))</f>
        <v>Sprig 1</v>
      </c>
      <c r="E102" t="str">
        <f>VLOOKUP(Summary!M112,Summary!$P$42:$Q$43,2)</f>
        <v>87b</v>
      </c>
      <c r="F102">
        <f>IF(LEFT(A102,3)="B60",20,IF(LEFT(A102,3)="B12",30,25))+B102*0.5+INT(Summary!M115*20)</f>
        <v>186</v>
      </c>
      <c r="G102">
        <f>ROUND(IF(OR(ISERROR(FIND(Summary!$P$89,CONCATENATE(C102,D102,E102))),ISERROR(FIND(Summary!$Q$89,A102))),Summary!$R$45,IF(H102&gt;Summary!$V$3,Summary!$R$46,Summary!$R$45))*(B102+30),0)</f>
        <v>3</v>
      </c>
      <c r="H102">
        <f>IF(H101&gt;Summary!$V$4,0,H101+F101)</f>
        <v>35483</v>
      </c>
      <c r="I102" s="26">
        <f>DATE(YEAR(Summary!$V$2),MONTH(Summary!$V$2),DAY(Summary!$V$2)+INT(H102/480))</f>
        <v>43663</v>
      </c>
      <c r="J102" s="27">
        <f t="shared" si="2"/>
        <v>0.64097222222222217</v>
      </c>
    </row>
    <row r="103" spans="1:10">
      <c r="A103" t="str">
        <f>VLOOKUP(Summary!M102,Summary!$P$13:$Q$24,2)</f>
        <v>B600-sky</v>
      </c>
      <c r="B103">
        <f>ROUND(NORMINV(Summary!M104,VLOOKUP(A103,Summary!$Q$13:$S$24,3,FALSE),VLOOKUP(A103,Summary!$Q$13:$S$24,3,FALSE)/6),-1)</f>
        <v>660</v>
      </c>
      <c r="C103" t="str">
        <f>IF(AND(H103=0,C102=Summary!$P$2),Summary!$Q$2,IF(AND(H103=0,C102=Summary!$Q$2),Summary!$R$2,C102))</f>
        <v>Neesha</v>
      </c>
      <c r="D103" t="str">
        <f>IF(C103=Summary!$P$26,VLOOKUP(Summary!M110,Summary!$Q$26:$R$27,2),IF('Run Data'!C103=Summary!$P$28,VLOOKUP(Summary!M110,Summary!$Q$28:$R$29,2),VLOOKUP(Summary!M110,Summary!$Q$30:$R$32,2)))</f>
        <v>Sprig 4</v>
      </c>
      <c r="E103" t="str">
        <f>VLOOKUP(Summary!M113,Summary!$P$42:$Q$43,2)</f>
        <v>86</v>
      </c>
      <c r="F103">
        <f>IF(LEFT(A103,3)="B60",20,IF(LEFT(A103,3)="B12",30,25))+B103*0.5+INT(Summary!M116*20)</f>
        <v>357</v>
      </c>
      <c r="G103">
        <f>ROUND(IF(OR(ISERROR(FIND(Summary!$P$89,CONCATENATE(C103,D103,E103))),ISERROR(FIND(Summary!$Q$89,A103))),Summary!$R$45,IF(H103&gt;Summary!$V$3,Summary!$R$46,Summary!$R$45))*(B103+30),0)</f>
        <v>7</v>
      </c>
      <c r="H103">
        <f>IF(H102&gt;Summary!$V$4,0,H102+F102)</f>
        <v>35669</v>
      </c>
      <c r="I103" s="26">
        <f>DATE(YEAR(Summary!$V$2),MONTH(Summary!$V$2),DAY(Summary!$V$2)+INT(H103/480))</f>
        <v>43664</v>
      </c>
      <c r="J103" s="27">
        <f t="shared" si="2"/>
        <v>0.4368055555555555</v>
      </c>
    </row>
    <row r="104" spans="1:10">
      <c r="A104" t="str">
        <f>VLOOKUP(Summary!M103,Summary!$P$13:$Q$24,2)</f>
        <v>B1200-fire</v>
      </c>
      <c r="B104">
        <f>ROUND(NORMINV(Summary!M105,VLOOKUP(A104,Summary!$Q$13:$S$24,3,FALSE),VLOOKUP(A104,Summary!$Q$13:$S$24,3,FALSE)/6),-1)</f>
        <v>1220</v>
      </c>
      <c r="C104" t="str">
        <f>IF(AND(H104=0,C103=Summary!$P$2),Summary!$Q$2,IF(AND(H104=0,C103=Summary!$Q$2),Summary!$R$2,C103))</f>
        <v>Neesha</v>
      </c>
      <c r="D104" t="str">
        <f>IF(C104=Summary!$P$26,VLOOKUP(Summary!M111,Summary!$Q$26:$R$27,2),IF('Run Data'!C104=Summary!$P$28,VLOOKUP(Summary!M111,Summary!$Q$28:$R$29,2),VLOOKUP(Summary!M111,Summary!$Q$30:$R$32,2)))</f>
        <v>Sprig 1</v>
      </c>
      <c r="E104" t="str">
        <f>VLOOKUP(Summary!M114,Summary!$P$42:$Q$43,2)</f>
        <v>86</v>
      </c>
      <c r="F104">
        <f>IF(LEFT(A104,3)="B60",20,IF(LEFT(A104,3)="B12",30,25))+B104*0.5+INT(Summary!M117*20)</f>
        <v>647</v>
      </c>
      <c r="G104">
        <f>ROUND(IF(OR(ISERROR(FIND(Summary!$P$89,CONCATENATE(C104,D104,E104))),ISERROR(FIND(Summary!$Q$89,A104))),Summary!$R$45,IF(H104&gt;Summary!$V$3,Summary!$R$46,Summary!$R$45))*(B104+30),0)</f>
        <v>13</v>
      </c>
      <c r="H104">
        <f>IF(H103&gt;Summary!$V$4,0,H103+F103)</f>
        <v>36026</v>
      </c>
      <c r="I104" s="26">
        <f>DATE(YEAR(Summary!$V$2),MONTH(Summary!$V$2),DAY(Summary!$V$2)+INT(H104/480))</f>
        <v>43665</v>
      </c>
      <c r="J104" s="27">
        <f t="shared" si="2"/>
        <v>0.35138888888888892</v>
      </c>
    </row>
    <row r="105" spans="1:10">
      <c r="A105" t="str">
        <f>VLOOKUP(Summary!M104,Summary!$P$13:$Q$24,2)</f>
        <v>B1700-lime</v>
      </c>
      <c r="B105">
        <f>ROUND(NORMINV(Summary!M106,VLOOKUP(A105,Summary!$Q$13:$S$24,3,FALSE),VLOOKUP(A105,Summary!$Q$13:$S$24,3,FALSE)/6),-1)</f>
        <v>350</v>
      </c>
      <c r="C105" t="str">
        <f>IF(AND(H105=0,C104=Summary!$P$2),Summary!$Q$2,IF(AND(H105=0,C104=Summary!$Q$2),Summary!$R$2,C104))</f>
        <v>Neesha</v>
      </c>
      <c r="D105" t="str">
        <f>IF(C105=Summary!$P$26,VLOOKUP(Summary!M112,Summary!$Q$26:$R$27,2),IF('Run Data'!C105=Summary!$P$28,VLOOKUP(Summary!M112,Summary!$Q$28:$R$29,2),VLOOKUP(Summary!M112,Summary!$Q$30:$R$32,2)))</f>
        <v>Sprig 4</v>
      </c>
      <c r="E105" t="str">
        <f>VLOOKUP(Summary!M115,Summary!$P$42:$Q$43,2)</f>
        <v>86</v>
      </c>
      <c r="F105">
        <f>IF(LEFT(A105,3)="B60",20,IF(LEFT(A105,3)="B12",30,25))+B105*0.5+INT(Summary!M118*20)</f>
        <v>214</v>
      </c>
      <c r="G105">
        <f>ROUND(IF(OR(ISERROR(FIND(Summary!$P$89,CONCATENATE(C105,D105,E105))),ISERROR(FIND(Summary!$Q$89,A105))),Summary!$R$45,IF(H105&gt;Summary!$V$3,Summary!$R$46,Summary!$R$45))*(B105+30),0)</f>
        <v>4</v>
      </c>
      <c r="H105">
        <f>IF(H104&gt;Summary!$V$4,0,H104+F104)</f>
        <v>36673</v>
      </c>
      <c r="I105" s="26">
        <f>DATE(YEAR(Summary!$V$2),MONTH(Summary!$V$2),DAY(Summary!$V$2)+INT(H105/480))</f>
        <v>43666</v>
      </c>
      <c r="J105" s="27">
        <f t="shared" si="2"/>
        <v>0.46736111111111112</v>
      </c>
    </row>
    <row r="106" spans="1:10">
      <c r="A106" t="str">
        <f>VLOOKUP(Summary!M105,Summary!$P$13:$Q$24,2)</f>
        <v>B1200-fire</v>
      </c>
      <c r="B106">
        <f>ROUND(NORMINV(Summary!M107,VLOOKUP(A106,Summary!$Q$13:$S$24,3,FALSE),VLOOKUP(A106,Summary!$Q$13:$S$24,3,FALSE)/6),-1)</f>
        <v>1380</v>
      </c>
      <c r="C106" t="str">
        <f>IF(AND(H106=0,C105=Summary!$P$2),Summary!$Q$2,IF(AND(H106=0,C105=Summary!$Q$2),Summary!$R$2,C105))</f>
        <v>Neesha</v>
      </c>
      <c r="D106" t="str">
        <f>IF(C106=Summary!$P$26,VLOOKUP(Summary!M113,Summary!$Q$26:$R$27,2),IF('Run Data'!C106=Summary!$P$28,VLOOKUP(Summary!M113,Summary!$Q$28:$R$29,2),VLOOKUP(Summary!M113,Summary!$Q$30:$R$32,2)))</f>
        <v>Sprig 1</v>
      </c>
      <c r="E106" t="str">
        <f>VLOOKUP(Summary!M116,Summary!$P$42:$Q$43,2)</f>
        <v>86</v>
      </c>
      <c r="F106">
        <f>IF(LEFT(A106,3)="B60",20,IF(LEFT(A106,3)="B12",30,25))+B106*0.5+INT(Summary!M119*20)</f>
        <v>731</v>
      </c>
      <c r="G106">
        <f>ROUND(IF(OR(ISERROR(FIND(Summary!$P$89,CONCATENATE(C106,D106,E106))),ISERROR(FIND(Summary!$Q$89,A106))),Summary!$R$45,IF(H106&gt;Summary!$V$3,Summary!$R$46,Summary!$R$45))*(B106+30),0)</f>
        <v>14</v>
      </c>
      <c r="H106">
        <f>IF(H105&gt;Summary!$V$4,0,H105+F105)</f>
        <v>36887</v>
      </c>
      <c r="I106" s="26">
        <f>DATE(YEAR(Summary!$V$2),MONTH(Summary!$V$2),DAY(Summary!$V$2)+INT(H106/480))</f>
        <v>43666</v>
      </c>
      <c r="J106" s="27">
        <f t="shared" si="2"/>
        <v>0.61597222222222225</v>
      </c>
    </row>
    <row r="107" spans="1:10">
      <c r="A107" t="str">
        <f>VLOOKUP(Summary!M106,Summary!$P$13:$Q$24,2)</f>
        <v>B1200-plum</v>
      </c>
      <c r="B107">
        <f>ROUND(NORMINV(Summary!M108,VLOOKUP(A107,Summary!$Q$13:$S$24,3,FALSE),VLOOKUP(A107,Summary!$Q$13:$S$24,3,FALSE)/6),-1)</f>
        <v>490</v>
      </c>
      <c r="C107" t="str">
        <f>IF(AND(H107=0,C106=Summary!$P$2),Summary!$Q$2,IF(AND(H107=0,C106=Summary!$Q$2),Summary!$R$2,C106))</f>
        <v>Neesha</v>
      </c>
      <c r="D107" t="str">
        <f>IF(C107=Summary!$P$26,VLOOKUP(Summary!M114,Summary!$Q$26:$R$27,2),IF('Run Data'!C107=Summary!$P$28,VLOOKUP(Summary!M114,Summary!$Q$28:$R$29,2),VLOOKUP(Summary!M114,Summary!$Q$30:$R$32,2)))</f>
        <v>Sprig 1</v>
      </c>
      <c r="E107" t="str">
        <f>VLOOKUP(Summary!M117,Summary!$P$42:$Q$43,2)</f>
        <v>86</v>
      </c>
      <c r="F107">
        <f>IF(LEFT(A107,3)="B60",20,IF(LEFT(A107,3)="B12",30,25))+B107*0.5+INT(Summary!M120*20)</f>
        <v>288</v>
      </c>
      <c r="G107">
        <f>ROUND(IF(OR(ISERROR(FIND(Summary!$P$89,CONCATENATE(C107,D107,E107))),ISERROR(FIND(Summary!$Q$89,A107))),Summary!$R$45,IF(H107&gt;Summary!$V$3,Summary!$R$46,Summary!$R$45))*(B107+30),0)</f>
        <v>5</v>
      </c>
      <c r="H107">
        <f>IF(H106&gt;Summary!$V$4,0,H106+F106)</f>
        <v>37618</v>
      </c>
      <c r="I107" s="26">
        <f>DATE(YEAR(Summary!$V$2),MONTH(Summary!$V$2),DAY(Summary!$V$2)+INT(H107/480))</f>
        <v>43668</v>
      </c>
      <c r="J107" s="27">
        <f t="shared" si="2"/>
        <v>0.45694444444444443</v>
      </c>
    </row>
    <row r="108" spans="1:10">
      <c r="A108" t="str">
        <f>VLOOKUP(Summary!M107,Summary!$P$13:$Q$24,2)</f>
        <v>B1700-sky</v>
      </c>
      <c r="B108">
        <f>ROUND(NORMINV(Summary!M109,VLOOKUP(A108,Summary!$Q$13:$S$24,3,FALSE),VLOOKUP(A108,Summary!$Q$13:$S$24,3,FALSE)/6),-1)</f>
        <v>590</v>
      </c>
      <c r="C108" t="str">
        <f>IF(AND(H108=0,C107=Summary!$P$2),Summary!$Q$2,IF(AND(H108=0,C107=Summary!$Q$2),Summary!$R$2,C107))</f>
        <v>Neesha</v>
      </c>
      <c r="D108" t="str">
        <f>IF(C108=Summary!$P$26,VLOOKUP(Summary!M115,Summary!$Q$26:$R$27,2),IF('Run Data'!C108=Summary!$P$28,VLOOKUP(Summary!M115,Summary!$Q$28:$R$29,2),VLOOKUP(Summary!M115,Summary!$Q$30:$R$32,2)))</f>
        <v>Sprig 4</v>
      </c>
      <c r="E108" t="str">
        <f>VLOOKUP(Summary!M118,Summary!$P$42:$Q$43,2)</f>
        <v>86</v>
      </c>
      <c r="F108">
        <f>IF(LEFT(A108,3)="B60",20,IF(LEFT(A108,3)="B12",30,25))+B108*0.5+INT(Summary!M121*20)</f>
        <v>322</v>
      </c>
      <c r="G108">
        <f>ROUND(IF(OR(ISERROR(FIND(Summary!$P$89,CONCATENATE(C108,D108,E108))),ISERROR(FIND(Summary!$Q$89,A108))),Summary!$R$45,IF(H108&gt;Summary!$V$3,Summary!$R$46,Summary!$R$45))*(B108+30),0)</f>
        <v>6</v>
      </c>
      <c r="H108">
        <f>IF(H107&gt;Summary!$V$4,0,H107+F107)</f>
        <v>37906</v>
      </c>
      <c r="I108" s="26">
        <f>DATE(YEAR(Summary!$V$2),MONTH(Summary!$V$2),DAY(Summary!$V$2)+INT(H108/480))</f>
        <v>43668</v>
      </c>
      <c r="J108" s="27">
        <f t="shared" si="2"/>
        <v>0.65694444444444444</v>
      </c>
    </row>
    <row r="109" spans="1:10">
      <c r="A109" t="str">
        <f>VLOOKUP(Summary!M108,Summary!$P$13:$Q$24,2)</f>
        <v>B1200-lime</v>
      </c>
      <c r="B109">
        <f>ROUND(NORMINV(Summary!M110,VLOOKUP(A109,Summary!$Q$13:$S$24,3,FALSE),VLOOKUP(A109,Summary!$Q$13:$S$24,3,FALSE)/6),-1)</f>
        <v>920</v>
      </c>
      <c r="C109" t="str">
        <f>IF(AND(H109=0,C108=Summary!$P$2),Summary!$Q$2,IF(AND(H109=0,C108=Summary!$Q$2),Summary!$R$2,C108))</f>
        <v>Neesha</v>
      </c>
      <c r="D109" t="str">
        <f>IF(C109=Summary!$P$26,VLOOKUP(Summary!M116,Summary!$Q$26:$R$27,2),IF('Run Data'!C109=Summary!$P$28,VLOOKUP(Summary!M116,Summary!$Q$28:$R$29,2),VLOOKUP(Summary!M116,Summary!$Q$30:$R$32,2)))</f>
        <v>Sprig 1</v>
      </c>
      <c r="E109" t="str">
        <f>VLOOKUP(Summary!M119,Summary!$P$42:$Q$43,2)</f>
        <v>86</v>
      </c>
      <c r="F109">
        <f>IF(LEFT(A109,3)="B60",20,IF(LEFT(A109,3)="B12",30,25))+B109*0.5+INT(Summary!M122*20)</f>
        <v>495</v>
      </c>
      <c r="G109">
        <f>ROUND(IF(OR(ISERROR(FIND(Summary!$P$89,CONCATENATE(C109,D109,E109))),ISERROR(FIND(Summary!$Q$89,A109))),Summary!$R$45,IF(H109&gt;Summary!$V$3,Summary!$R$46,Summary!$R$45))*(B109+30),0)</f>
        <v>10</v>
      </c>
      <c r="H109">
        <f>IF(H108&gt;Summary!$V$4,0,H108+F108)</f>
        <v>38228</v>
      </c>
      <c r="I109" s="26">
        <f>DATE(YEAR(Summary!$V$2),MONTH(Summary!$V$2),DAY(Summary!$V$2)+INT(H109/480))</f>
        <v>43669</v>
      </c>
      <c r="J109" s="27">
        <f t="shared" si="2"/>
        <v>0.54722222222222217</v>
      </c>
    </row>
    <row r="110" spans="1:10">
      <c r="A110" t="str">
        <f>VLOOKUP(Summary!M109,Summary!$P$13:$Q$24,2)</f>
        <v>B1200-lime</v>
      </c>
      <c r="B110">
        <f>ROUND(NORMINV(Summary!M111,VLOOKUP(A110,Summary!$Q$13:$S$24,3,FALSE),VLOOKUP(A110,Summary!$Q$13:$S$24,3,FALSE)/6),-1)</f>
        <v>760</v>
      </c>
      <c r="C110" t="str">
        <f>IF(AND(H110=0,C109=Summary!$P$2),Summary!$Q$2,IF(AND(H110=0,C109=Summary!$Q$2),Summary!$R$2,C109))</f>
        <v>Neesha</v>
      </c>
      <c r="D110" t="str">
        <f>IF(C110=Summary!$P$26,VLOOKUP(Summary!M117,Summary!$Q$26:$R$27,2),IF('Run Data'!C110=Summary!$P$28,VLOOKUP(Summary!M117,Summary!$Q$28:$R$29,2),VLOOKUP(Summary!M117,Summary!$Q$30:$R$32,2)))</f>
        <v>Sprig 1</v>
      </c>
      <c r="E110" t="str">
        <f>VLOOKUP(Summary!M120,Summary!$P$42:$Q$43,2)</f>
        <v>86</v>
      </c>
      <c r="F110">
        <f>IF(LEFT(A110,3)="B60",20,IF(LEFT(A110,3)="B12",30,25))+B110*0.5+INT(Summary!M123*20)</f>
        <v>414</v>
      </c>
      <c r="G110">
        <f>ROUND(IF(OR(ISERROR(FIND(Summary!$P$89,CONCATENATE(C110,D110,E110))),ISERROR(FIND(Summary!$Q$89,A110))),Summary!$R$45,IF(H110&gt;Summary!$V$3,Summary!$R$46,Summary!$R$45))*(B110+30),0)</f>
        <v>8</v>
      </c>
      <c r="H110">
        <f>IF(H109&gt;Summary!$V$4,0,H109+F109)</f>
        <v>38723</v>
      </c>
      <c r="I110" s="26">
        <f>DATE(YEAR(Summary!$V$2),MONTH(Summary!$V$2),DAY(Summary!$V$2)+INT(H110/480))</f>
        <v>43670</v>
      </c>
      <c r="J110" s="27">
        <f t="shared" si="2"/>
        <v>0.55763888888888891</v>
      </c>
    </row>
    <row r="111" spans="1:10">
      <c r="A111" t="str">
        <f>VLOOKUP(Summary!M110,Summary!$P$13:$Q$24,2)</f>
        <v>B1700-sky</v>
      </c>
      <c r="B111">
        <f>ROUND(NORMINV(Summary!M112,VLOOKUP(A111,Summary!$Q$13:$S$24,3,FALSE),VLOOKUP(A111,Summary!$Q$13:$S$24,3,FALSE)/6),-1)</f>
        <v>680</v>
      </c>
      <c r="C111" t="str">
        <f>IF(AND(H111=0,C110=Summary!$P$2),Summary!$Q$2,IF(AND(H111=0,C110=Summary!$Q$2),Summary!$R$2,C110))</f>
        <v>Neesha</v>
      </c>
      <c r="D111" t="str">
        <f>IF(C111=Summary!$P$26,VLOOKUP(Summary!M118,Summary!$Q$26:$R$27,2),IF('Run Data'!C111=Summary!$P$28,VLOOKUP(Summary!M118,Summary!$Q$28:$R$29,2),VLOOKUP(Summary!M118,Summary!$Q$30:$R$32,2)))</f>
        <v>Sprig 1</v>
      </c>
      <c r="E111" t="str">
        <f>VLOOKUP(Summary!M121,Summary!$P$42:$Q$43,2)</f>
        <v>86</v>
      </c>
      <c r="F111">
        <f>IF(LEFT(A111,3)="B60",20,IF(LEFT(A111,3)="B12",30,25))+B111*0.5+INT(Summary!M124*20)</f>
        <v>377</v>
      </c>
      <c r="G111">
        <f>ROUND(IF(OR(ISERROR(FIND(Summary!$P$89,CONCATENATE(C111,D111,E111))),ISERROR(FIND(Summary!$Q$89,A111))),Summary!$R$45,IF(H111&gt;Summary!$V$3,Summary!$R$46,Summary!$R$45))*(B111+30),0)</f>
        <v>7</v>
      </c>
      <c r="H111">
        <f>IF(H110&gt;Summary!$V$4,0,H110+F110)</f>
        <v>39137</v>
      </c>
      <c r="I111" s="26">
        <f>DATE(YEAR(Summary!$V$2),MONTH(Summary!$V$2),DAY(Summary!$V$2)+INT(H111/480))</f>
        <v>43671</v>
      </c>
      <c r="J111" s="27">
        <f t="shared" si="2"/>
        <v>0.51180555555555551</v>
      </c>
    </row>
    <row r="112" spans="1:10">
      <c r="A112" t="str">
        <f>VLOOKUP(Summary!M111,Summary!$P$13:$Q$24,2)</f>
        <v>B1200-sky</v>
      </c>
      <c r="B112">
        <f>ROUND(NORMINV(Summary!M113,VLOOKUP(A112,Summary!$Q$13:$S$24,3,FALSE),VLOOKUP(A112,Summary!$Q$13:$S$24,3,FALSE)/6),-1)</f>
        <v>1230</v>
      </c>
      <c r="C112" t="str">
        <f>IF(AND(H112=0,C111=Summary!$P$2),Summary!$Q$2,IF(AND(H112=0,C111=Summary!$Q$2),Summary!$R$2,C111))</f>
        <v>Neesha</v>
      </c>
      <c r="D112" t="str">
        <f>IF(C112=Summary!$P$26,VLOOKUP(Summary!M119,Summary!$Q$26:$R$27,2),IF('Run Data'!C112=Summary!$P$28,VLOOKUP(Summary!M119,Summary!$Q$28:$R$29,2),VLOOKUP(Summary!M119,Summary!$Q$30:$R$32,2)))</f>
        <v>Sprig 1</v>
      </c>
      <c r="E112" t="str">
        <f>VLOOKUP(Summary!M122,Summary!$P$42:$Q$43,2)</f>
        <v>86</v>
      </c>
      <c r="F112">
        <f>IF(LEFT(A112,3)="B60",20,IF(LEFT(A112,3)="B12",30,25))+B112*0.5+INT(Summary!M125*20)</f>
        <v>652</v>
      </c>
      <c r="G112">
        <f>ROUND(IF(OR(ISERROR(FIND(Summary!$P$89,CONCATENATE(C112,D112,E112))),ISERROR(FIND(Summary!$Q$89,A112))),Summary!$R$45,IF(H112&gt;Summary!$V$3,Summary!$R$46,Summary!$R$45))*(B112+30),0)</f>
        <v>13</v>
      </c>
      <c r="H112">
        <f>IF(H111&gt;Summary!$V$4,0,H111+F111)</f>
        <v>39514</v>
      </c>
      <c r="I112" s="26">
        <f>DATE(YEAR(Summary!$V$2),MONTH(Summary!$V$2),DAY(Summary!$V$2)+INT(H112/480))</f>
        <v>43672</v>
      </c>
      <c r="J112" s="27">
        <f t="shared" si="2"/>
        <v>0.44027777777777777</v>
      </c>
    </row>
    <row r="113" spans="1:10">
      <c r="A113" t="str">
        <f>VLOOKUP(Summary!M112,Summary!$P$13:$Q$24,2)</f>
        <v>B1700-lime</v>
      </c>
      <c r="B113">
        <f>ROUND(NORMINV(Summary!M114,VLOOKUP(A113,Summary!$Q$13:$S$24,3,FALSE),VLOOKUP(A113,Summary!$Q$13:$S$24,3,FALSE)/6),-1)</f>
        <v>400</v>
      </c>
      <c r="C113" t="str">
        <f>IF(AND(H113=0,C112=Summary!$P$2),Summary!$Q$2,IF(AND(H113=0,C112=Summary!$Q$2),Summary!$R$2,C112))</f>
        <v>Neesha</v>
      </c>
      <c r="D113" t="str">
        <f>IF(C113=Summary!$P$26,VLOOKUP(Summary!M120,Summary!$Q$26:$R$27,2),IF('Run Data'!C113=Summary!$P$28,VLOOKUP(Summary!M120,Summary!$Q$28:$R$29,2),VLOOKUP(Summary!M120,Summary!$Q$30:$R$32,2)))</f>
        <v>Sprig 1</v>
      </c>
      <c r="E113" t="str">
        <f>VLOOKUP(Summary!M123,Summary!$P$42:$Q$43,2)</f>
        <v>86</v>
      </c>
      <c r="F113">
        <f>IF(LEFT(A113,3)="B60",20,IF(LEFT(A113,3)="B12",30,25))+B113*0.5+INT(Summary!M126*20)</f>
        <v>236</v>
      </c>
      <c r="G113">
        <f>ROUND(IF(OR(ISERROR(FIND(Summary!$P$89,CONCATENATE(C113,D113,E113))),ISERROR(FIND(Summary!$Q$89,A113))),Summary!$R$45,IF(H113&gt;Summary!$V$3,Summary!$R$46,Summary!$R$45))*(B113+30),0)</f>
        <v>4</v>
      </c>
      <c r="H113">
        <f>IF(H112&gt;Summary!$V$4,0,H112+F112)</f>
        <v>40166</v>
      </c>
      <c r="I113" s="26">
        <f>DATE(YEAR(Summary!$V$2),MONTH(Summary!$V$2),DAY(Summary!$V$2)+INT(H113/480))</f>
        <v>43673</v>
      </c>
      <c r="J113" s="27">
        <f t="shared" si="2"/>
        <v>0.55972222222222223</v>
      </c>
    </row>
    <row r="114" spans="1:10">
      <c r="A114" t="str">
        <f>VLOOKUP(Summary!M113,Summary!$P$13:$Q$24,2)</f>
        <v>B1200-lime</v>
      </c>
      <c r="B114">
        <f>ROUND(NORMINV(Summary!M115,VLOOKUP(A114,Summary!$Q$13:$S$24,3,FALSE),VLOOKUP(A114,Summary!$Q$13:$S$24,3,FALSE)/6),-1)</f>
        <v>920</v>
      </c>
      <c r="C114" t="str">
        <f>IF(AND(H114=0,C113=Summary!$P$2),Summary!$Q$2,IF(AND(H114=0,C113=Summary!$Q$2),Summary!$R$2,C113))</f>
        <v>Neesha</v>
      </c>
      <c r="D114" t="str">
        <f>IF(C114=Summary!$P$26,VLOOKUP(Summary!M121,Summary!$Q$26:$R$27,2),IF('Run Data'!C114=Summary!$P$28,VLOOKUP(Summary!M121,Summary!$Q$28:$R$29,2),VLOOKUP(Summary!M121,Summary!$Q$30:$R$32,2)))</f>
        <v>Sprig 1</v>
      </c>
      <c r="E114" t="str">
        <f>VLOOKUP(Summary!M124,Summary!$P$42:$Q$43,2)</f>
        <v>86</v>
      </c>
      <c r="F114">
        <f>IF(LEFT(A114,3)="B60",20,IF(LEFT(A114,3)="B12",30,25))+B114*0.5+INT(Summary!M127*20)</f>
        <v>502</v>
      </c>
      <c r="G114">
        <f>ROUND(IF(OR(ISERROR(FIND(Summary!$P$89,CONCATENATE(C114,D114,E114))),ISERROR(FIND(Summary!$Q$89,A114))),Summary!$R$45,IF(H114&gt;Summary!$V$3,Summary!$R$46,Summary!$R$45))*(B114+30),0)</f>
        <v>10</v>
      </c>
      <c r="H114">
        <f>IF(H113&gt;Summary!$V$4,0,H113+F113)</f>
        <v>40402</v>
      </c>
      <c r="I114" s="26">
        <f>DATE(YEAR(Summary!$V$2),MONTH(Summary!$V$2),DAY(Summary!$V$2)+INT(H114/480))</f>
        <v>43674</v>
      </c>
      <c r="J114" s="27">
        <f t="shared" si="2"/>
        <v>0.39027777777777778</v>
      </c>
    </row>
    <row r="115" spans="1:10">
      <c r="A115" t="str">
        <f>VLOOKUP(Summary!M114,Summary!$P$13:$Q$24,2)</f>
        <v>B1200-fire</v>
      </c>
      <c r="B115">
        <f>ROUND(NORMINV(Summary!M116,VLOOKUP(A115,Summary!$Q$13:$S$24,3,FALSE),VLOOKUP(A115,Summary!$Q$13:$S$24,3,FALSE)/6),-1)</f>
        <v>1120</v>
      </c>
      <c r="C115" t="str">
        <f>IF(AND(H115=0,C114=Summary!$P$2),Summary!$Q$2,IF(AND(H115=0,C114=Summary!$Q$2),Summary!$R$2,C114))</f>
        <v>Neesha</v>
      </c>
      <c r="D115" t="str">
        <f>IF(C115=Summary!$P$26,VLOOKUP(Summary!M122,Summary!$Q$26:$R$27,2),IF('Run Data'!C115=Summary!$P$28,VLOOKUP(Summary!M122,Summary!$Q$28:$R$29,2),VLOOKUP(Summary!M122,Summary!$Q$30:$R$32,2)))</f>
        <v>Sprig 1</v>
      </c>
      <c r="E115" t="str">
        <f>VLOOKUP(Summary!M125,Summary!$P$42:$Q$43,2)</f>
        <v>86</v>
      </c>
      <c r="F115">
        <f>IF(LEFT(A115,3)="B60",20,IF(LEFT(A115,3)="B12",30,25))+B115*0.5+INT(Summary!M128*20)</f>
        <v>598</v>
      </c>
      <c r="G115">
        <f>ROUND(IF(OR(ISERROR(FIND(Summary!$P$89,CONCATENATE(C115,D115,E115))),ISERROR(FIND(Summary!$Q$89,A115))),Summary!$R$45,IF(H115&gt;Summary!$V$3,Summary!$R$46,Summary!$R$45))*(B115+30),0)</f>
        <v>12</v>
      </c>
      <c r="H115">
        <f>IF(H114&gt;Summary!$V$4,0,H114+F114)</f>
        <v>40904</v>
      </c>
      <c r="I115" s="26">
        <f>DATE(YEAR(Summary!$V$2),MONTH(Summary!$V$2),DAY(Summary!$V$2)+INT(H115/480))</f>
        <v>43675</v>
      </c>
      <c r="J115" s="27">
        <f t="shared" si="2"/>
        <v>0.4055555555555555</v>
      </c>
    </row>
    <row r="116" spans="1:10">
      <c r="A116" t="str">
        <f>VLOOKUP(Summary!M115,Summary!$P$13:$Q$24,2)</f>
        <v>B1700-sky</v>
      </c>
      <c r="B116">
        <f>ROUND(NORMINV(Summary!M117,VLOOKUP(A116,Summary!$Q$13:$S$24,3,FALSE),VLOOKUP(A116,Summary!$Q$13:$S$24,3,FALSE)/6),-1)</f>
        <v>520</v>
      </c>
      <c r="C116" t="str">
        <f>IF(AND(H116=0,C115=Summary!$P$2),Summary!$Q$2,IF(AND(H116=0,C115=Summary!$Q$2),Summary!$R$2,C115))</f>
        <v>Neesha</v>
      </c>
      <c r="D116" t="str">
        <f>IF(C116=Summary!$P$26,VLOOKUP(Summary!M123,Summary!$Q$26:$R$27,2),IF('Run Data'!C116=Summary!$P$28,VLOOKUP(Summary!M123,Summary!$Q$28:$R$29,2),VLOOKUP(Summary!M123,Summary!$Q$30:$R$32,2)))</f>
        <v>Sprig 1</v>
      </c>
      <c r="E116" t="str">
        <f>VLOOKUP(Summary!M126,Summary!$P$42:$Q$43,2)</f>
        <v>86</v>
      </c>
      <c r="F116">
        <f>IF(LEFT(A116,3)="B60",20,IF(LEFT(A116,3)="B12",30,25))+B116*0.5+INT(Summary!M129*20)</f>
        <v>295</v>
      </c>
      <c r="G116">
        <f>ROUND(IF(OR(ISERROR(FIND(Summary!$P$89,CONCATENATE(C116,D116,E116))),ISERROR(FIND(Summary!$Q$89,A116))),Summary!$R$45,IF(H116&gt;Summary!$V$3,Summary!$R$46,Summary!$R$45))*(B116+30),0)</f>
        <v>6</v>
      </c>
      <c r="H116">
        <f>IF(H115&gt;Summary!$V$4,0,H115+F115)</f>
        <v>41502</v>
      </c>
      <c r="I116" s="26">
        <f>DATE(YEAR(Summary!$V$2),MONTH(Summary!$V$2),DAY(Summary!$V$2)+INT(H116/480))</f>
        <v>43676</v>
      </c>
      <c r="J116" s="27">
        <f t="shared" si="2"/>
        <v>0.48749999999999999</v>
      </c>
    </row>
    <row r="117" spans="1:10">
      <c r="A117" t="str">
        <f>VLOOKUP(Summary!M116,Summary!$P$13:$Q$24,2)</f>
        <v>B1200-sky</v>
      </c>
      <c r="B117">
        <f>ROUND(NORMINV(Summary!M118,VLOOKUP(A117,Summary!$Q$13:$S$24,3,FALSE),VLOOKUP(A117,Summary!$Q$13:$S$24,3,FALSE)/6),-1)</f>
        <v>1310</v>
      </c>
      <c r="C117" t="str">
        <f>IF(AND(H117=0,C116=Summary!$P$2),Summary!$Q$2,IF(AND(H117=0,C116=Summary!$Q$2),Summary!$R$2,C116))</f>
        <v>Neesha</v>
      </c>
      <c r="D117" t="str">
        <f>IF(C117=Summary!$P$26,VLOOKUP(Summary!M124,Summary!$Q$26:$R$27,2),IF('Run Data'!C117=Summary!$P$28,VLOOKUP(Summary!M124,Summary!$Q$28:$R$29,2),VLOOKUP(Summary!M124,Summary!$Q$30:$R$32,2)))</f>
        <v>Sprig 1</v>
      </c>
      <c r="E117" t="str">
        <f>VLOOKUP(Summary!M127,Summary!$P$42:$Q$43,2)</f>
        <v>86</v>
      </c>
      <c r="F117">
        <f>IF(LEFT(A117,3)="B60",20,IF(LEFT(A117,3)="B12",30,25))+B117*0.5+INT(Summary!M130*20)</f>
        <v>697</v>
      </c>
      <c r="G117">
        <f>ROUND(IF(OR(ISERROR(FIND(Summary!$P$89,CONCATENATE(C117,D117,E117))),ISERROR(FIND(Summary!$Q$89,A117))),Summary!$R$45,IF(H117&gt;Summary!$V$3,Summary!$R$46,Summary!$R$45))*(B117+30),0)</f>
        <v>13</v>
      </c>
      <c r="H117">
        <f>IF(H116&gt;Summary!$V$4,0,H116+F116)</f>
        <v>41797</v>
      </c>
      <c r="I117" s="26">
        <f>DATE(YEAR(Summary!$V$2),MONTH(Summary!$V$2),DAY(Summary!$V$2)+INT(H117/480))</f>
        <v>43677</v>
      </c>
      <c r="J117" s="27">
        <f t="shared" si="2"/>
        <v>0.35902777777777778</v>
      </c>
    </row>
    <row r="118" spans="1:10">
      <c r="A118" t="str">
        <f>VLOOKUP(Summary!M117,Summary!$P$13:$Q$24,2)</f>
        <v>B1200-sky</v>
      </c>
      <c r="B118">
        <f>ROUND(NORMINV(Summary!M119,VLOOKUP(A118,Summary!$Q$13:$S$24,3,FALSE),VLOOKUP(A118,Summary!$Q$13:$S$24,3,FALSE)/6),-1)</f>
        <v>1230</v>
      </c>
      <c r="C118" t="str">
        <f>IF(AND(H118=0,C117=Summary!$P$2),Summary!$Q$2,IF(AND(H118=0,C117=Summary!$Q$2),Summary!$R$2,C117))</f>
        <v>Neesha</v>
      </c>
      <c r="D118" t="str">
        <f>IF(C118=Summary!$P$26,VLOOKUP(Summary!M125,Summary!$Q$26:$R$27,2),IF('Run Data'!C118=Summary!$P$28,VLOOKUP(Summary!M125,Summary!$Q$28:$R$29,2),VLOOKUP(Summary!M125,Summary!$Q$30:$R$32,2)))</f>
        <v>Sprig 1</v>
      </c>
      <c r="E118" t="str">
        <f>VLOOKUP(Summary!M128,Summary!$P$42:$Q$43,2)</f>
        <v>86</v>
      </c>
      <c r="F118">
        <f>IF(LEFT(A118,3)="B60",20,IF(LEFT(A118,3)="B12",30,25))+B118*0.5+INT(Summary!M131*20)</f>
        <v>656</v>
      </c>
      <c r="G118">
        <f>ROUND(IF(OR(ISERROR(FIND(Summary!$P$89,CONCATENATE(C118,D118,E118))),ISERROR(FIND(Summary!$Q$89,A118))),Summary!$R$45,IF(H118&gt;Summary!$V$3,Summary!$R$46,Summary!$R$45))*(B118+30),0)</f>
        <v>13</v>
      </c>
      <c r="H118">
        <f>IF(H117&gt;Summary!$V$4,0,H117+F117)</f>
        <v>42494</v>
      </c>
      <c r="I118" s="26">
        <f>DATE(YEAR(Summary!$V$2),MONTH(Summary!$V$2),DAY(Summary!$V$2)+INT(H118/480))</f>
        <v>43678</v>
      </c>
      <c r="J118" s="27">
        <f t="shared" si="2"/>
        <v>0.50972222222222219</v>
      </c>
    </row>
    <row r="119" spans="1:10">
      <c r="A119" t="str">
        <f>VLOOKUP(Summary!M118,Summary!$P$13:$Q$24,2)</f>
        <v>B1700-plum</v>
      </c>
      <c r="B119">
        <f>ROUND(NORMINV(Summary!M120,VLOOKUP(A119,Summary!$Q$13:$S$24,3,FALSE),VLOOKUP(A119,Summary!$Q$13:$S$24,3,FALSE)/6),-1)</f>
        <v>320</v>
      </c>
      <c r="C119" t="str">
        <f>IF(AND(H119=0,C118=Summary!$P$2),Summary!$Q$2,IF(AND(H119=0,C118=Summary!$Q$2),Summary!$R$2,C118))</f>
        <v>Neesha</v>
      </c>
      <c r="D119" t="str">
        <f>IF(C119=Summary!$P$26,VLOOKUP(Summary!M126,Summary!$Q$26:$R$27,2),IF('Run Data'!C119=Summary!$P$28,VLOOKUP(Summary!M126,Summary!$Q$28:$R$29,2),VLOOKUP(Summary!M126,Summary!$Q$30:$R$32,2)))</f>
        <v>Sprig 1</v>
      </c>
      <c r="E119" t="str">
        <f>VLOOKUP(Summary!M129,Summary!$P$42:$Q$43,2)</f>
        <v>86</v>
      </c>
      <c r="F119">
        <f>IF(LEFT(A119,3)="B60",20,IF(LEFT(A119,3)="B12",30,25))+B119*0.5+INT(Summary!M132*20)</f>
        <v>190</v>
      </c>
      <c r="G119">
        <f>ROUND(IF(OR(ISERROR(FIND(Summary!$P$89,CONCATENATE(C119,D119,E119))),ISERROR(FIND(Summary!$Q$89,A119))),Summary!$R$45,IF(H119&gt;Summary!$V$3,Summary!$R$46,Summary!$R$45))*(B119+30),0)</f>
        <v>4</v>
      </c>
      <c r="H119">
        <f>IF(H118&gt;Summary!$V$4,0,H118+F118)</f>
        <v>43150</v>
      </c>
      <c r="I119" s="26">
        <f>DATE(YEAR(Summary!$V$2),MONTH(Summary!$V$2),DAY(Summary!$V$2)+INT(H119/480))</f>
        <v>43679</v>
      </c>
      <c r="J119" s="27">
        <f t="shared" si="2"/>
        <v>0.63194444444444442</v>
      </c>
    </row>
    <row r="120" spans="1:10">
      <c r="A120" t="str">
        <f>VLOOKUP(Summary!M119,Summary!$P$13:$Q$24,2)</f>
        <v>B1200-lime</v>
      </c>
      <c r="B120">
        <f>ROUND(NORMINV(Summary!M121,VLOOKUP(A120,Summary!$Q$13:$S$24,3,FALSE),VLOOKUP(A120,Summary!$Q$13:$S$24,3,FALSE)/6),-1)</f>
        <v>650</v>
      </c>
      <c r="C120" t="str">
        <f>IF(AND(H120=0,C119=Summary!$P$2),Summary!$Q$2,IF(AND(H120=0,C119=Summary!$Q$2),Summary!$R$2,C119))</f>
        <v>Neesha</v>
      </c>
      <c r="D120" t="str">
        <f>IF(C120=Summary!$P$26,VLOOKUP(Summary!M127,Summary!$Q$26:$R$27,2),IF('Run Data'!C120=Summary!$P$28,VLOOKUP(Summary!M127,Summary!$Q$28:$R$29,2),VLOOKUP(Summary!M127,Summary!$Q$30:$R$32,2)))</f>
        <v>Sprig 1</v>
      </c>
      <c r="E120" t="str">
        <f>VLOOKUP(Summary!M130,Summary!$P$42:$Q$43,2)</f>
        <v>86</v>
      </c>
      <c r="F120">
        <f>IF(LEFT(A120,3)="B60",20,IF(LEFT(A120,3)="B12",30,25))+B120*0.5+INT(Summary!M133*20)</f>
        <v>362</v>
      </c>
      <c r="G120">
        <f>ROUND(IF(OR(ISERROR(FIND(Summary!$P$89,CONCATENATE(C120,D120,E120))),ISERROR(FIND(Summary!$Q$89,A120))),Summary!$R$45,IF(H120&gt;Summary!$V$3,Summary!$R$46,Summary!$R$45))*(B120+30),0)</f>
        <v>7</v>
      </c>
      <c r="H120">
        <f>IF(H119&gt;Summary!$V$4,0,H119+F119)</f>
        <v>43340</v>
      </c>
      <c r="I120" s="26">
        <f>DATE(YEAR(Summary!$V$2),MONTH(Summary!$V$2),DAY(Summary!$V$2)+INT(H120/480))</f>
        <v>43680</v>
      </c>
      <c r="J120" s="27">
        <f t="shared" si="2"/>
        <v>0.43055555555555558</v>
      </c>
    </row>
    <row r="121" spans="1:10">
      <c r="A121" t="str">
        <f>VLOOKUP(Summary!M120,Summary!$P$13:$Q$24,2)</f>
        <v>B1200-lime</v>
      </c>
      <c r="B121">
        <f>ROUND(NORMINV(Summary!M122,VLOOKUP(A121,Summary!$Q$13:$S$24,3,FALSE),VLOOKUP(A121,Summary!$Q$13:$S$24,3,FALSE)/6),-1)</f>
        <v>720</v>
      </c>
      <c r="C121" t="str">
        <f>IF(AND(H121=0,C120=Summary!$P$2),Summary!$Q$2,IF(AND(H121=0,C120=Summary!$Q$2),Summary!$R$2,C120))</f>
        <v>Neesha</v>
      </c>
      <c r="D121" t="str">
        <f>IF(C121=Summary!$P$26,VLOOKUP(Summary!M128,Summary!$Q$26:$R$27,2),IF('Run Data'!C121=Summary!$P$28,VLOOKUP(Summary!M128,Summary!$Q$28:$R$29,2),VLOOKUP(Summary!M128,Summary!$Q$30:$R$32,2)))</f>
        <v>Sprig 1</v>
      </c>
      <c r="E121" t="str">
        <f>VLOOKUP(Summary!M131,Summary!$P$42:$Q$43,2)</f>
        <v>86</v>
      </c>
      <c r="F121">
        <f>IF(LEFT(A121,3)="B60",20,IF(LEFT(A121,3)="B12",30,25))+B121*0.5+INT(Summary!M134*20)</f>
        <v>407</v>
      </c>
      <c r="G121">
        <f>ROUND(IF(OR(ISERROR(FIND(Summary!$P$89,CONCATENATE(C121,D121,E121))),ISERROR(FIND(Summary!$Q$89,A121))),Summary!$R$45,IF(H121&gt;Summary!$V$3,Summary!$R$46,Summary!$R$45))*(B121+30),0)</f>
        <v>8</v>
      </c>
      <c r="H121">
        <f>IF(H120&gt;Summary!$V$4,0,H120+F120)</f>
        <v>43702</v>
      </c>
      <c r="I121" s="26">
        <f>DATE(YEAR(Summary!$V$2),MONTH(Summary!$V$2),DAY(Summary!$V$2)+INT(H121/480))</f>
        <v>43681</v>
      </c>
      <c r="J121" s="27">
        <f t="shared" si="2"/>
        <v>0.34861111111111115</v>
      </c>
    </row>
    <row r="122" spans="1:10">
      <c r="A122" t="str">
        <f>VLOOKUP(Summary!M121,Summary!$P$13:$Q$24,2)</f>
        <v>B600-fire</v>
      </c>
      <c r="B122">
        <f>ROUND(NORMINV(Summary!M123,VLOOKUP(A122,Summary!$Q$13:$S$24,3,FALSE),VLOOKUP(A122,Summary!$Q$13:$S$24,3,FALSE)/6),-1)</f>
        <v>340</v>
      </c>
      <c r="C122" t="str">
        <f>IF(AND(H122=0,C121=Summary!$P$2),Summary!$Q$2,IF(AND(H122=0,C121=Summary!$Q$2),Summary!$R$2,C121))</f>
        <v>Neesha</v>
      </c>
      <c r="D122" t="str">
        <f>IF(C122=Summary!$P$26,VLOOKUP(Summary!M129,Summary!$Q$26:$R$27,2),IF('Run Data'!C122=Summary!$P$28,VLOOKUP(Summary!M129,Summary!$Q$28:$R$29,2),VLOOKUP(Summary!M129,Summary!$Q$30:$R$32,2)))</f>
        <v>Sprig 1</v>
      </c>
      <c r="E122" t="str">
        <f>VLOOKUP(Summary!M132,Summary!$P$42:$Q$43,2)</f>
        <v>86</v>
      </c>
      <c r="F122">
        <f>IF(LEFT(A122,3)="B60",20,IF(LEFT(A122,3)="B12",30,25))+B122*0.5+INT(Summary!M135*20)</f>
        <v>204</v>
      </c>
      <c r="G122">
        <f>ROUND(IF(OR(ISERROR(FIND(Summary!$P$89,CONCATENATE(C122,D122,E122))),ISERROR(FIND(Summary!$Q$89,A122))),Summary!$R$45,IF(H122&gt;Summary!$V$3,Summary!$R$46,Summary!$R$45))*(B122+30),0)</f>
        <v>4</v>
      </c>
      <c r="H122">
        <f>IF(H121&gt;Summary!$V$4,0,H121+F121)</f>
        <v>44109</v>
      </c>
      <c r="I122" s="26">
        <f>DATE(YEAR(Summary!$V$2),MONTH(Summary!$V$2),DAY(Summary!$V$2)+INT(H122/480))</f>
        <v>43681</v>
      </c>
      <c r="J122" s="27">
        <f t="shared" si="2"/>
        <v>0.63124999999999998</v>
      </c>
    </row>
    <row r="123" spans="1:10">
      <c r="A123" t="str">
        <f>VLOOKUP(Summary!M122,Summary!$P$13:$Q$24,2)</f>
        <v>B1200-plum</v>
      </c>
      <c r="B123">
        <f>ROUND(NORMINV(Summary!M124,VLOOKUP(A123,Summary!$Q$13:$S$24,3,FALSE),VLOOKUP(A123,Summary!$Q$13:$S$24,3,FALSE)/6),-1)</f>
        <v>480</v>
      </c>
      <c r="C123" t="str">
        <f>IF(AND(H123=0,C122=Summary!$P$2),Summary!$Q$2,IF(AND(H123=0,C122=Summary!$Q$2),Summary!$R$2,C122))</f>
        <v>Neesha</v>
      </c>
      <c r="D123" t="str">
        <f>IF(C123=Summary!$P$26,VLOOKUP(Summary!M130,Summary!$Q$26:$R$27,2),IF('Run Data'!C123=Summary!$P$28,VLOOKUP(Summary!M130,Summary!$Q$28:$R$29,2),VLOOKUP(Summary!M130,Summary!$Q$30:$R$32,2)))</f>
        <v>Sprig 1</v>
      </c>
      <c r="E123" t="str">
        <f>VLOOKUP(Summary!M133,Summary!$P$42:$Q$43,2)</f>
        <v>86</v>
      </c>
      <c r="F123">
        <f>IF(LEFT(A123,3)="B60",20,IF(LEFT(A123,3)="B12",30,25))+B123*0.5+INT(Summary!M136*20)</f>
        <v>284</v>
      </c>
      <c r="G123">
        <f>ROUND(IF(OR(ISERROR(FIND(Summary!$P$89,CONCATENATE(C123,D123,E123))),ISERROR(FIND(Summary!$Q$89,A123))),Summary!$R$45,IF(H123&gt;Summary!$V$3,Summary!$R$46,Summary!$R$45))*(B123+30),0)</f>
        <v>5</v>
      </c>
      <c r="H123">
        <f>IF(H122&gt;Summary!$V$4,0,H122+F122)</f>
        <v>44313</v>
      </c>
      <c r="I123" s="26">
        <f>DATE(YEAR(Summary!$V$2),MONTH(Summary!$V$2),DAY(Summary!$V$2)+INT(H123/480))</f>
        <v>43682</v>
      </c>
      <c r="J123" s="27">
        <f t="shared" si="2"/>
        <v>0.43958333333333338</v>
      </c>
    </row>
    <row r="124" spans="1:10">
      <c r="A124" t="str">
        <f>VLOOKUP(Summary!M123,Summary!$P$13:$Q$24,2)</f>
        <v>B600-lime</v>
      </c>
      <c r="B124">
        <f>ROUND(NORMINV(Summary!M125,VLOOKUP(A124,Summary!$Q$13:$S$24,3,FALSE),VLOOKUP(A124,Summary!$Q$13:$S$24,3,FALSE)/6),-1)</f>
        <v>280</v>
      </c>
      <c r="C124" t="str">
        <f>IF(AND(H124=0,C123=Summary!$P$2),Summary!$Q$2,IF(AND(H124=0,C123=Summary!$Q$2),Summary!$R$2,C123))</f>
        <v>Neesha</v>
      </c>
      <c r="D124" t="str">
        <f>IF(C124=Summary!$P$26,VLOOKUP(Summary!M131,Summary!$Q$26:$R$27,2),IF('Run Data'!C124=Summary!$P$28,VLOOKUP(Summary!M131,Summary!$Q$28:$R$29,2),VLOOKUP(Summary!M131,Summary!$Q$30:$R$32,2)))</f>
        <v>Sprig 1</v>
      </c>
      <c r="E124" t="str">
        <f>VLOOKUP(Summary!M134,Summary!$P$42:$Q$43,2)</f>
        <v>87b</v>
      </c>
      <c r="F124">
        <f>IF(LEFT(A124,3)="B60",20,IF(LEFT(A124,3)="B12",30,25))+B124*0.5+INT(Summary!M137*20)</f>
        <v>164</v>
      </c>
      <c r="G124">
        <f>ROUND(IF(OR(ISERROR(FIND(Summary!$P$89,CONCATENATE(C124,D124,E124))),ISERROR(FIND(Summary!$Q$89,A124))),Summary!$R$45,IF(H124&gt;Summary!$V$3,Summary!$R$46,Summary!$R$45))*(B124+30),0)</f>
        <v>3</v>
      </c>
      <c r="H124">
        <f>IF(H123&gt;Summary!$V$4,0,H123+F123)</f>
        <v>44597</v>
      </c>
      <c r="I124" s="26">
        <f>DATE(YEAR(Summary!$V$2),MONTH(Summary!$V$2),DAY(Summary!$V$2)+INT(H124/480))</f>
        <v>43682</v>
      </c>
      <c r="J124" s="27">
        <f t="shared" si="2"/>
        <v>0.63680555555555551</v>
      </c>
    </row>
    <row r="125" spans="1:10">
      <c r="A125" t="str">
        <f>VLOOKUP(Summary!M124,Summary!$P$13:$Q$24,2)</f>
        <v>B1200-lime</v>
      </c>
      <c r="B125">
        <f>ROUND(NORMINV(Summary!M126,VLOOKUP(A125,Summary!$Q$13:$S$24,3,FALSE),VLOOKUP(A125,Summary!$Q$13:$S$24,3,FALSE)/6),-1)</f>
        <v>820</v>
      </c>
      <c r="C125" t="str">
        <f>IF(AND(H125=0,C124=Summary!$P$2),Summary!$Q$2,IF(AND(H125=0,C124=Summary!$Q$2),Summary!$R$2,C124))</f>
        <v>Neesha</v>
      </c>
      <c r="D125" t="str">
        <f>IF(C125=Summary!$P$26,VLOOKUP(Summary!M132,Summary!$Q$26:$R$27,2),IF('Run Data'!C125=Summary!$P$28,VLOOKUP(Summary!M132,Summary!$Q$28:$R$29,2),VLOOKUP(Summary!M132,Summary!$Q$30:$R$32,2)))</f>
        <v>Sprig 1</v>
      </c>
      <c r="E125" t="str">
        <f>VLOOKUP(Summary!M135,Summary!$P$42:$Q$43,2)</f>
        <v>86</v>
      </c>
      <c r="F125">
        <f>IF(LEFT(A125,3)="B60",20,IF(LEFT(A125,3)="B12",30,25))+B125*0.5+INT(Summary!M138*20)</f>
        <v>453</v>
      </c>
      <c r="G125">
        <f>ROUND(IF(OR(ISERROR(FIND(Summary!$P$89,CONCATENATE(C125,D125,E125))),ISERROR(FIND(Summary!$Q$89,A125))),Summary!$R$45,IF(H125&gt;Summary!$V$3,Summary!$R$46,Summary!$R$45))*(B125+30),0)</f>
        <v>9</v>
      </c>
      <c r="H125">
        <f>IF(H124&gt;Summary!$V$4,0,H124+F124)</f>
        <v>44761</v>
      </c>
      <c r="I125" s="26">
        <f>DATE(YEAR(Summary!$V$2),MONTH(Summary!$V$2),DAY(Summary!$V$2)+INT(H125/480))</f>
        <v>43683</v>
      </c>
      <c r="J125" s="27">
        <f t="shared" si="2"/>
        <v>0.41736111111111113</v>
      </c>
    </row>
    <row r="126" spans="1:10">
      <c r="A126" t="str">
        <f>VLOOKUP(Summary!M125,Summary!$P$13:$Q$24,2)</f>
        <v>B1200-sky</v>
      </c>
      <c r="B126">
        <f>ROUND(NORMINV(Summary!M127,VLOOKUP(A126,Summary!$Q$13:$S$24,3,FALSE),VLOOKUP(A126,Summary!$Q$13:$S$24,3,FALSE)/6),-1)</f>
        <v>1260</v>
      </c>
      <c r="C126" t="str">
        <f>IF(AND(H126=0,C125=Summary!$P$2),Summary!$Q$2,IF(AND(H126=0,C125=Summary!$Q$2),Summary!$R$2,C125))</f>
        <v>Neesha</v>
      </c>
      <c r="D126" t="str">
        <f>IF(C126=Summary!$P$26,VLOOKUP(Summary!M133,Summary!$Q$26:$R$27,2),IF('Run Data'!C126=Summary!$P$28,VLOOKUP(Summary!M133,Summary!$Q$28:$R$29,2),VLOOKUP(Summary!M133,Summary!$Q$30:$R$32,2)))</f>
        <v>Sprig 1</v>
      </c>
      <c r="E126" t="str">
        <f>VLOOKUP(Summary!M136,Summary!$P$42:$Q$43,2)</f>
        <v>86</v>
      </c>
      <c r="F126">
        <f>IF(LEFT(A126,3)="B60",20,IF(LEFT(A126,3)="B12",30,25))+B126*0.5+INT(Summary!M139*20)</f>
        <v>665</v>
      </c>
      <c r="G126">
        <f>ROUND(IF(OR(ISERROR(FIND(Summary!$P$89,CONCATENATE(C126,D126,E126))),ISERROR(FIND(Summary!$Q$89,A126))),Summary!$R$45,IF(H126&gt;Summary!$V$3,Summary!$R$46,Summary!$R$45))*(B126+30),0)</f>
        <v>13</v>
      </c>
      <c r="H126">
        <f>IF(H125&gt;Summary!$V$4,0,H125+F125)</f>
        <v>45214</v>
      </c>
      <c r="I126" s="26">
        <f>DATE(YEAR(Summary!$V$2),MONTH(Summary!$V$2),DAY(Summary!$V$2)+INT(H126/480))</f>
        <v>43684</v>
      </c>
      <c r="J126" s="27">
        <f t="shared" si="2"/>
        <v>0.39861111111111108</v>
      </c>
    </row>
    <row r="127" spans="1:10">
      <c r="A127" t="str">
        <f>VLOOKUP(Summary!M126,Summary!$P$13:$Q$24,2)</f>
        <v>B1200-lime</v>
      </c>
      <c r="B127">
        <f>ROUND(NORMINV(Summary!M128,VLOOKUP(A127,Summary!$Q$13:$S$24,3,FALSE),VLOOKUP(A127,Summary!$Q$13:$S$24,3,FALSE)/6),-1)</f>
        <v>770</v>
      </c>
      <c r="C127" t="str">
        <f>IF(AND(H127=0,C126=Summary!$P$2),Summary!$Q$2,IF(AND(H127=0,C126=Summary!$Q$2),Summary!$R$2,C126))</f>
        <v>Neesha</v>
      </c>
      <c r="D127" t="str">
        <f>IF(C127=Summary!$P$26,VLOOKUP(Summary!M134,Summary!$Q$26:$R$27,2),IF('Run Data'!C127=Summary!$P$28,VLOOKUP(Summary!M134,Summary!$Q$28:$R$29,2),VLOOKUP(Summary!M134,Summary!$Q$30:$R$32,2)))</f>
        <v>Sprig 4</v>
      </c>
      <c r="E127" t="str">
        <f>VLOOKUP(Summary!M137,Summary!$P$42:$Q$43,2)</f>
        <v>86</v>
      </c>
      <c r="F127">
        <f>IF(LEFT(A127,3)="B60",20,IF(LEFT(A127,3)="B12",30,25))+B127*0.5+INT(Summary!M140*20)</f>
        <v>421</v>
      </c>
      <c r="G127">
        <f>ROUND(IF(OR(ISERROR(FIND(Summary!$P$89,CONCATENATE(C127,D127,E127))),ISERROR(FIND(Summary!$Q$89,A127))),Summary!$R$45,IF(H127&gt;Summary!$V$3,Summary!$R$46,Summary!$R$45))*(B127+30),0)</f>
        <v>8</v>
      </c>
      <c r="H127">
        <f>IF(H126&gt;Summary!$V$4,0,H126+F126)</f>
        <v>45879</v>
      </c>
      <c r="I127" s="26">
        <f>DATE(YEAR(Summary!$V$2),MONTH(Summary!$V$2),DAY(Summary!$V$2)+INT(H127/480))</f>
        <v>43685</v>
      </c>
      <c r="J127" s="27">
        <f t="shared" si="2"/>
        <v>0.52708333333333335</v>
      </c>
    </row>
    <row r="128" spans="1:10">
      <c r="A128" t="str">
        <f>VLOOKUP(Summary!M127,Summary!$P$13:$Q$24,2)</f>
        <v>B1200-lime</v>
      </c>
      <c r="B128">
        <f>ROUND(NORMINV(Summary!M129,VLOOKUP(A128,Summary!$Q$13:$S$24,3,FALSE),VLOOKUP(A128,Summary!$Q$13:$S$24,3,FALSE)/6),-1)</f>
        <v>820</v>
      </c>
      <c r="C128" t="str">
        <f>IF(AND(H128=0,C127=Summary!$P$2),Summary!$Q$2,IF(AND(H128=0,C127=Summary!$Q$2),Summary!$R$2,C127))</f>
        <v>Neesha</v>
      </c>
      <c r="D128" t="str">
        <f>IF(C128=Summary!$P$26,VLOOKUP(Summary!M135,Summary!$Q$26:$R$27,2),IF('Run Data'!C128=Summary!$P$28,VLOOKUP(Summary!M135,Summary!$Q$28:$R$29,2),VLOOKUP(Summary!M135,Summary!$Q$30:$R$32,2)))</f>
        <v>Sprig 1</v>
      </c>
      <c r="E128" t="str">
        <f>VLOOKUP(Summary!M138,Summary!$P$42:$Q$43,2)</f>
        <v>86</v>
      </c>
      <c r="F128">
        <f>IF(LEFT(A128,3)="B60",20,IF(LEFT(A128,3)="B12",30,25))+B128*0.5+INT(Summary!M141*20)</f>
        <v>450</v>
      </c>
      <c r="G128">
        <f>ROUND(IF(OR(ISERROR(FIND(Summary!$P$89,CONCATENATE(C128,D128,E128))),ISERROR(FIND(Summary!$Q$89,A128))),Summary!$R$45,IF(H128&gt;Summary!$V$3,Summary!$R$46,Summary!$R$45))*(B128+30),0)</f>
        <v>9</v>
      </c>
      <c r="H128">
        <f>IF(H127&gt;Summary!$V$4,0,H127+F127)</f>
        <v>46300</v>
      </c>
      <c r="I128" s="26">
        <f>DATE(YEAR(Summary!$V$2),MONTH(Summary!$V$2),DAY(Summary!$V$2)+INT(H128/480))</f>
        <v>43686</v>
      </c>
      <c r="J128" s="27">
        <f t="shared" si="2"/>
        <v>0.4861111111111111</v>
      </c>
    </row>
    <row r="129" spans="1:10">
      <c r="A129" t="str">
        <f>VLOOKUP(Summary!M128,Summary!$P$13:$Q$24,2)</f>
        <v>B1200-sky</v>
      </c>
      <c r="B129">
        <f>ROUND(NORMINV(Summary!M130,VLOOKUP(A129,Summary!$Q$13:$S$24,3,FALSE),VLOOKUP(A129,Summary!$Q$13:$S$24,3,FALSE)/6),-1)</f>
        <v>1260</v>
      </c>
      <c r="C129" t="str">
        <f>IF(AND(H129=0,C128=Summary!$P$2),Summary!$Q$2,IF(AND(H129=0,C128=Summary!$Q$2),Summary!$R$2,C128))</f>
        <v>Neesha</v>
      </c>
      <c r="D129" t="str">
        <f>IF(C129=Summary!$P$26,VLOOKUP(Summary!M136,Summary!$Q$26:$R$27,2),IF('Run Data'!C129=Summary!$P$28,VLOOKUP(Summary!M136,Summary!$Q$28:$R$29,2),VLOOKUP(Summary!M136,Summary!$Q$30:$R$32,2)))</f>
        <v>Sprig 1</v>
      </c>
      <c r="E129" t="str">
        <f>VLOOKUP(Summary!M139,Summary!$P$42:$Q$43,2)</f>
        <v>86</v>
      </c>
      <c r="F129">
        <f>IF(LEFT(A129,3)="B60",20,IF(LEFT(A129,3)="B12",30,25))+B129*0.5+INT(Summary!M142*20)</f>
        <v>670</v>
      </c>
      <c r="G129">
        <f>ROUND(IF(OR(ISERROR(FIND(Summary!$P$89,CONCATENATE(C129,D129,E129))),ISERROR(FIND(Summary!$Q$89,A129))),Summary!$R$45,IF(H129&gt;Summary!$V$3,Summary!$R$46,Summary!$R$45))*(B129+30),0)</f>
        <v>13</v>
      </c>
      <c r="H129">
        <f>IF(H128&gt;Summary!$V$4,0,H128+F128)</f>
        <v>46750</v>
      </c>
      <c r="I129" s="26">
        <f>DATE(YEAR(Summary!$V$2),MONTH(Summary!$V$2),DAY(Summary!$V$2)+INT(H129/480))</f>
        <v>43687</v>
      </c>
      <c r="J129" s="27">
        <f t="shared" si="2"/>
        <v>0.46527777777777773</v>
      </c>
    </row>
    <row r="130" spans="1:10">
      <c r="A130" t="str">
        <f>VLOOKUP(Summary!M129,Summary!$P$13:$Q$24,2)</f>
        <v>B1200-fire</v>
      </c>
      <c r="B130">
        <f>ROUND(NORMINV(Summary!M131,VLOOKUP(A130,Summary!$Q$13:$S$24,3,FALSE),VLOOKUP(A130,Summary!$Q$13:$S$24,3,FALSE)/6),-1)</f>
        <v>1250</v>
      </c>
      <c r="C130" t="str">
        <f>IF(AND(H130=0,C129=Summary!$P$2),Summary!$Q$2,IF(AND(H130=0,C129=Summary!$Q$2),Summary!$R$2,C129))</f>
        <v>Neesha</v>
      </c>
      <c r="D130" t="str">
        <f>IF(C130=Summary!$P$26,VLOOKUP(Summary!M137,Summary!$Q$26:$R$27,2),IF('Run Data'!C130=Summary!$P$28,VLOOKUP(Summary!M137,Summary!$Q$28:$R$29,2),VLOOKUP(Summary!M137,Summary!$Q$30:$R$32,2)))</f>
        <v>Sprig 1</v>
      </c>
      <c r="E130" t="str">
        <f>VLOOKUP(Summary!M140,Summary!$P$42:$Q$43,2)</f>
        <v>86</v>
      </c>
      <c r="F130">
        <f>IF(LEFT(A130,3)="B60",20,IF(LEFT(A130,3)="B12",30,25))+B130*0.5+INT(Summary!M143*20)</f>
        <v>672</v>
      </c>
      <c r="G130">
        <f>ROUND(IF(OR(ISERROR(FIND(Summary!$P$89,CONCATENATE(C130,D130,E130))),ISERROR(FIND(Summary!$Q$89,A130))),Summary!$R$45,IF(H130&gt;Summary!$V$3,Summary!$R$46,Summary!$R$45))*(B130+30),0)</f>
        <v>13</v>
      </c>
      <c r="H130">
        <f>IF(H129&gt;Summary!$V$4,0,H129+F129)</f>
        <v>47420</v>
      </c>
      <c r="I130" s="26">
        <f>DATE(YEAR(Summary!$V$2),MONTH(Summary!$V$2),DAY(Summary!$V$2)+INT(H130/480))</f>
        <v>43688</v>
      </c>
      <c r="J130" s="27">
        <f t="shared" si="2"/>
        <v>0.59722222222222221</v>
      </c>
    </row>
    <row r="131" spans="1:10">
      <c r="A131" t="str">
        <f>VLOOKUP(Summary!M130,Summary!$P$13:$Q$24,2)</f>
        <v>B1200-lime</v>
      </c>
      <c r="B131">
        <f>ROUND(NORMINV(Summary!M132,VLOOKUP(A131,Summary!$Q$13:$S$24,3,FALSE),VLOOKUP(A131,Summary!$Q$13:$S$24,3,FALSE)/6),-1)</f>
        <v>730</v>
      </c>
      <c r="C131" t="str">
        <f>IF(AND(H131=0,C130=Summary!$P$2),Summary!$Q$2,IF(AND(H131=0,C130=Summary!$Q$2),Summary!$R$2,C130))</f>
        <v>Neesha</v>
      </c>
      <c r="D131" t="str">
        <f>IF(C131=Summary!$P$26,VLOOKUP(Summary!M138,Summary!$Q$26:$R$27,2),IF('Run Data'!C131=Summary!$P$28,VLOOKUP(Summary!M138,Summary!$Q$28:$R$29,2),VLOOKUP(Summary!M138,Summary!$Q$30:$R$32,2)))</f>
        <v>Sprig 1</v>
      </c>
      <c r="E131" t="str">
        <f>VLOOKUP(Summary!M141,Summary!$P$42:$Q$43,2)</f>
        <v>86</v>
      </c>
      <c r="F131">
        <f>IF(LEFT(A131,3)="B60",20,IF(LEFT(A131,3)="B12",30,25))+B131*0.5+INT(Summary!M144*20)</f>
        <v>404</v>
      </c>
      <c r="G131">
        <f>ROUND(IF(OR(ISERROR(FIND(Summary!$P$89,CONCATENATE(C131,D131,E131))),ISERROR(FIND(Summary!$Q$89,A131))),Summary!$R$45,IF(H131&gt;Summary!$V$3,Summary!$R$46,Summary!$R$45))*(B131+30),0)</f>
        <v>8</v>
      </c>
      <c r="H131">
        <f>IF(H130&gt;Summary!$V$4,0,H130+F130)</f>
        <v>48092</v>
      </c>
      <c r="I131" s="26">
        <f>DATE(YEAR(Summary!$V$2),MONTH(Summary!$V$2),DAY(Summary!$V$2)+INT(H131/480))</f>
        <v>43690</v>
      </c>
      <c r="J131" s="27">
        <f t="shared" si="2"/>
        <v>0.3972222222222222</v>
      </c>
    </row>
    <row r="132" spans="1:10">
      <c r="A132" t="str">
        <f>VLOOKUP(Summary!M131,Summary!$P$13:$Q$24,2)</f>
        <v>B1200-lime</v>
      </c>
      <c r="B132">
        <f>ROUND(NORMINV(Summary!M133,VLOOKUP(A132,Summary!$Q$13:$S$24,3,FALSE),VLOOKUP(A132,Summary!$Q$13:$S$24,3,FALSE)/6),-1)</f>
        <v>760</v>
      </c>
      <c r="C132" t="str">
        <f>IF(AND(H132=0,C131=Summary!$P$2),Summary!$Q$2,IF(AND(H132=0,C131=Summary!$Q$2),Summary!$R$2,C131))</f>
        <v>Neesha</v>
      </c>
      <c r="D132" t="str">
        <f>IF(C132=Summary!$P$26,VLOOKUP(Summary!M139,Summary!$Q$26:$R$27,2),IF('Run Data'!C132=Summary!$P$28,VLOOKUP(Summary!M139,Summary!$Q$28:$R$29,2),VLOOKUP(Summary!M139,Summary!$Q$30:$R$32,2)))</f>
        <v>Sprig 1</v>
      </c>
      <c r="E132" t="str">
        <f>VLOOKUP(Summary!M142,Summary!$P$42:$Q$43,2)</f>
        <v>86</v>
      </c>
      <c r="F132">
        <f>IF(LEFT(A132,3)="B60",20,IF(LEFT(A132,3)="B12",30,25))+B132*0.5+INT(Summary!M145*20)</f>
        <v>413</v>
      </c>
      <c r="G132">
        <f>ROUND(IF(OR(ISERROR(FIND(Summary!$P$89,CONCATENATE(C132,D132,E132))),ISERROR(FIND(Summary!$Q$89,A132))),Summary!$R$45,IF(H132&gt;Summary!$V$3,Summary!$R$46,Summary!$R$45))*(B132+30),0)</f>
        <v>8</v>
      </c>
      <c r="H132">
        <f>IF(H131&gt;Summary!$V$4,0,H131+F131)</f>
        <v>48496</v>
      </c>
      <c r="I132" s="26">
        <f>DATE(YEAR(Summary!$V$2),MONTH(Summary!$V$2),DAY(Summary!$V$2)+INT(H132/480))</f>
        <v>43691</v>
      </c>
      <c r="J132" s="27">
        <f t="shared" si="2"/>
        <v>0.3444444444444445</v>
      </c>
    </row>
    <row r="133" spans="1:10">
      <c r="A133" t="str">
        <f>VLOOKUP(Summary!M132,Summary!$P$13:$Q$24,2)</f>
        <v>B1200-plum</v>
      </c>
      <c r="B133">
        <f>ROUND(NORMINV(Summary!M134,VLOOKUP(A133,Summary!$Q$13:$S$24,3,FALSE),VLOOKUP(A133,Summary!$Q$13:$S$24,3,FALSE)/6),-1)</f>
        <v>540</v>
      </c>
      <c r="C133" t="str">
        <f>IF(AND(H133=0,C132=Summary!$P$2),Summary!$Q$2,IF(AND(H133=0,C132=Summary!$Q$2),Summary!$R$2,C132))</f>
        <v>Neesha</v>
      </c>
      <c r="D133" t="str">
        <f>IF(C133=Summary!$P$26,VLOOKUP(Summary!M140,Summary!$Q$26:$R$27,2),IF('Run Data'!C133=Summary!$P$28,VLOOKUP(Summary!M140,Summary!$Q$28:$R$29,2),VLOOKUP(Summary!M140,Summary!$Q$30:$R$32,2)))</f>
        <v>Sprig 1</v>
      </c>
      <c r="E133" t="str">
        <f>VLOOKUP(Summary!M143,Summary!$P$42:$Q$43,2)</f>
        <v>87b</v>
      </c>
      <c r="F133">
        <f>IF(LEFT(A133,3)="B60",20,IF(LEFT(A133,3)="B12",30,25))+B133*0.5+INT(Summary!M146*20)</f>
        <v>319</v>
      </c>
      <c r="G133">
        <f>ROUND(IF(OR(ISERROR(FIND(Summary!$P$89,CONCATENATE(C133,D133,E133))),ISERROR(FIND(Summary!$Q$89,A133))),Summary!$R$45,IF(H133&gt;Summary!$V$3,Summary!$R$46,Summary!$R$45))*(B133+30),0)</f>
        <v>6</v>
      </c>
      <c r="H133">
        <f>IF(H132&gt;Summary!$V$4,0,H132+F132)</f>
        <v>48909</v>
      </c>
      <c r="I133" s="26">
        <f>DATE(YEAR(Summary!$V$2),MONTH(Summary!$V$2),DAY(Summary!$V$2)+INT(H133/480))</f>
        <v>43691</v>
      </c>
      <c r="J133" s="27">
        <f t="shared" si="2"/>
        <v>0.63124999999999998</v>
      </c>
    </row>
    <row r="134" spans="1:10">
      <c r="A134" t="str">
        <f>VLOOKUP(Summary!M133,Summary!$P$13:$Q$24,2)</f>
        <v>B1200-sky</v>
      </c>
      <c r="B134">
        <f>ROUND(NORMINV(Summary!M135,VLOOKUP(A134,Summary!$Q$13:$S$24,3,FALSE),VLOOKUP(A134,Summary!$Q$13:$S$24,3,FALSE)/6),-1)</f>
        <v>1330</v>
      </c>
      <c r="C134" t="str">
        <f>IF(AND(H134=0,C133=Summary!$P$2),Summary!$Q$2,IF(AND(H134=0,C133=Summary!$Q$2),Summary!$R$2,C133))</f>
        <v>Neesha</v>
      </c>
      <c r="D134" t="str">
        <f>IF(C134=Summary!$P$26,VLOOKUP(Summary!M141,Summary!$Q$26:$R$27,2),IF('Run Data'!C134=Summary!$P$28,VLOOKUP(Summary!M141,Summary!$Q$28:$R$29,2),VLOOKUP(Summary!M141,Summary!$Q$30:$R$32,2)))</f>
        <v>Sprig 1</v>
      </c>
      <c r="E134" t="str">
        <f>VLOOKUP(Summary!M144,Summary!$P$42:$Q$43,2)</f>
        <v>86</v>
      </c>
      <c r="F134">
        <f>IF(LEFT(A134,3)="B60",20,IF(LEFT(A134,3)="B12",30,25))+B134*0.5+INT(Summary!M147*20)</f>
        <v>714</v>
      </c>
      <c r="G134">
        <f>ROUND(IF(OR(ISERROR(FIND(Summary!$P$89,CONCATENATE(C134,D134,E134))),ISERROR(FIND(Summary!$Q$89,A134))),Summary!$R$45,IF(H134&gt;Summary!$V$3,Summary!$R$46,Summary!$R$45))*(B134+30),0)</f>
        <v>14</v>
      </c>
      <c r="H134">
        <f>IF(H133&gt;Summary!$V$4,0,H133+F133)</f>
        <v>49228</v>
      </c>
      <c r="I134" s="26">
        <f>DATE(YEAR(Summary!$V$2),MONTH(Summary!$V$2),DAY(Summary!$V$2)+INT(H134/480))</f>
        <v>43692</v>
      </c>
      <c r="J134" s="27">
        <f t="shared" si="2"/>
        <v>0.51944444444444449</v>
      </c>
    </row>
    <row r="135" spans="1:10">
      <c r="A135" t="str">
        <f>VLOOKUP(Summary!M134,Summary!$P$13:$Q$24,2)</f>
        <v>B1700-fire</v>
      </c>
      <c r="B135">
        <f>ROUND(NORMINV(Summary!M136,VLOOKUP(A135,Summary!$Q$13:$S$24,3,FALSE),VLOOKUP(A135,Summary!$Q$13:$S$24,3,FALSE)/6),-1)</f>
        <v>830</v>
      </c>
      <c r="C135" t="str">
        <f>IF(AND(H135=0,C134=Summary!$P$2),Summary!$Q$2,IF(AND(H135=0,C134=Summary!$Q$2),Summary!$R$2,C134))</f>
        <v>Neesha</v>
      </c>
      <c r="D135" t="str">
        <f>IF(C135=Summary!$P$26,VLOOKUP(Summary!M142,Summary!$Q$26:$R$27,2),IF('Run Data'!C135=Summary!$P$28,VLOOKUP(Summary!M142,Summary!$Q$28:$R$29,2),VLOOKUP(Summary!M142,Summary!$Q$30:$R$32,2)))</f>
        <v>Sprig 1</v>
      </c>
      <c r="E135" t="str">
        <f>VLOOKUP(Summary!M145,Summary!$P$42:$Q$43,2)</f>
        <v>86</v>
      </c>
      <c r="F135">
        <f>IF(LEFT(A135,3)="B60",20,IF(LEFT(A135,3)="B12",30,25))+B135*0.5+INT(Summary!M148*20)</f>
        <v>444</v>
      </c>
      <c r="G135">
        <f>ROUND(IF(OR(ISERROR(FIND(Summary!$P$89,CONCATENATE(C135,D135,E135))),ISERROR(FIND(Summary!$Q$89,A135))),Summary!$R$45,IF(H135&gt;Summary!$V$3,Summary!$R$46,Summary!$R$45))*(B135+30),0)</f>
        <v>103</v>
      </c>
      <c r="H135">
        <f>IF(H134&gt;Summary!$V$4,0,H134+F134)</f>
        <v>49942</v>
      </c>
      <c r="I135" s="26">
        <f>DATE(YEAR(Summary!$V$2),MONTH(Summary!$V$2),DAY(Summary!$V$2)+INT(H135/480))</f>
        <v>43694</v>
      </c>
      <c r="J135" s="27">
        <f t="shared" si="2"/>
        <v>0.34861111111111115</v>
      </c>
    </row>
    <row r="136" spans="1:10">
      <c r="A136" t="str">
        <f>VLOOKUP(Summary!M135,Summary!$P$13:$Q$24,2)</f>
        <v>B1700-plum</v>
      </c>
      <c r="B136">
        <f>ROUND(NORMINV(Summary!M137,VLOOKUP(A136,Summary!$Q$13:$S$24,3,FALSE),VLOOKUP(A136,Summary!$Q$13:$S$24,3,FALSE)/6),-1)</f>
        <v>260</v>
      </c>
      <c r="C136" t="str">
        <f>IF(AND(H136=0,C135=Summary!$P$2),Summary!$Q$2,IF(AND(H136=0,C135=Summary!$Q$2),Summary!$R$2,C135))</f>
        <v>Neesha</v>
      </c>
      <c r="D136" t="str">
        <f>IF(C136=Summary!$P$26,VLOOKUP(Summary!M143,Summary!$Q$26:$R$27,2),IF('Run Data'!C136=Summary!$P$28,VLOOKUP(Summary!M143,Summary!$Q$28:$R$29,2),VLOOKUP(Summary!M143,Summary!$Q$30:$R$32,2)))</f>
        <v>Sprig 4</v>
      </c>
      <c r="E136" t="str">
        <f>VLOOKUP(Summary!M146,Summary!$P$42:$Q$43,2)</f>
        <v>87b</v>
      </c>
      <c r="F136">
        <f>IF(LEFT(A136,3)="B60",20,IF(LEFT(A136,3)="B12",30,25))+B136*0.5+INT(Summary!M149*20)</f>
        <v>170</v>
      </c>
      <c r="G136">
        <f>ROUND(IF(OR(ISERROR(FIND(Summary!$P$89,CONCATENATE(C136,D136,E136))),ISERROR(FIND(Summary!$Q$89,A136))),Summary!$R$45,IF(H136&gt;Summary!$V$3,Summary!$R$46,Summary!$R$45))*(B136+30),0)</f>
        <v>3</v>
      </c>
      <c r="H136">
        <f>IF(H135&gt;Summary!$V$4,0,H135+F135)</f>
        <v>50386</v>
      </c>
      <c r="I136" s="26">
        <f>DATE(YEAR(Summary!$V$2),MONTH(Summary!$V$2),DAY(Summary!$V$2)+INT(H136/480))</f>
        <v>43694</v>
      </c>
      <c r="J136" s="27">
        <f t="shared" si="2"/>
        <v>0.65694444444444444</v>
      </c>
    </row>
    <row r="137" spans="1:10">
      <c r="A137" t="str">
        <f>VLOOKUP(Summary!M136,Summary!$P$13:$Q$24,2)</f>
        <v>B1700-plum</v>
      </c>
      <c r="B137">
        <f>ROUND(NORMINV(Summary!M138,VLOOKUP(A137,Summary!$Q$13:$S$24,3,FALSE),VLOOKUP(A137,Summary!$Q$13:$S$24,3,FALSE)/6),-1)</f>
        <v>320</v>
      </c>
      <c r="C137" t="str">
        <f>IF(AND(H137=0,C136=Summary!$P$2),Summary!$Q$2,IF(AND(H137=0,C136=Summary!$Q$2),Summary!$R$2,C136))</f>
        <v>Neesha</v>
      </c>
      <c r="D137" t="str">
        <f>IF(C137=Summary!$P$26,VLOOKUP(Summary!M144,Summary!$Q$26:$R$27,2),IF('Run Data'!C137=Summary!$P$28,VLOOKUP(Summary!M144,Summary!$Q$28:$R$29,2),VLOOKUP(Summary!M144,Summary!$Q$30:$R$32,2)))</f>
        <v>Sprig 1</v>
      </c>
      <c r="E137" t="str">
        <f>VLOOKUP(Summary!M147,Summary!$P$42:$Q$43,2)</f>
        <v>87b</v>
      </c>
      <c r="F137">
        <f>IF(LEFT(A137,3)="B60",20,IF(LEFT(A137,3)="B12",30,25))+B137*0.5+INT(Summary!M150*20)</f>
        <v>189</v>
      </c>
      <c r="G137">
        <f>ROUND(IF(OR(ISERROR(FIND(Summary!$P$89,CONCATENATE(C137,D137,E137))),ISERROR(FIND(Summary!$Q$89,A137))),Summary!$R$45,IF(H137&gt;Summary!$V$3,Summary!$R$46,Summary!$R$45))*(B137+30),0)</f>
        <v>4</v>
      </c>
      <c r="H137">
        <f>IF(H136&gt;Summary!$V$4,0,H136+F136)</f>
        <v>50556</v>
      </c>
      <c r="I137" s="26">
        <f>DATE(YEAR(Summary!$V$2),MONTH(Summary!$V$2),DAY(Summary!$V$2)+INT(H137/480))</f>
        <v>43695</v>
      </c>
      <c r="J137" s="27">
        <f t="shared" si="2"/>
        <v>0.44166666666666665</v>
      </c>
    </row>
    <row r="138" spans="1:10">
      <c r="A138" t="str">
        <f>VLOOKUP(Summary!M137,Summary!$P$13:$Q$24,2)</f>
        <v>B600-lime</v>
      </c>
      <c r="B138">
        <f>ROUND(NORMINV(Summary!M139,VLOOKUP(A138,Summary!$Q$13:$S$24,3,FALSE),VLOOKUP(A138,Summary!$Q$13:$S$24,3,FALSE)/6),-1)</f>
        <v>270</v>
      </c>
      <c r="C138" t="str">
        <f>IF(AND(H138=0,C137=Summary!$P$2),Summary!$Q$2,IF(AND(H138=0,C137=Summary!$Q$2),Summary!$R$2,C137))</f>
        <v>Neesha</v>
      </c>
      <c r="D138" t="str">
        <f>IF(C138=Summary!$P$26,VLOOKUP(Summary!M145,Summary!$Q$26:$R$27,2),IF('Run Data'!C138=Summary!$P$28,VLOOKUP(Summary!M145,Summary!$Q$28:$R$29,2),VLOOKUP(Summary!M145,Summary!$Q$30:$R$32,2)))</f>
        <v>Sprig 1</v>
      </c>
      <c r="E138" t="str">
        <f>VLOOKUP(Summary!M148,Summary!$P$42:$Q$43,2)</f>
        <v>86</v>
      </c>
      <c r="F138">
        <f>IF(LEFT(A138,3)="B60",20,IF(LEFT(A138,3)="B12",30,25))+B138*0.5+INT(Summary!M151*20)</f>
        <v>167</v>
      </c>
      <c r="G138">
        <f>ROUND(IF(OR(ISERROR(FIND(Summary!$P$89,CONCATENATE(C138,D138,E138))),ISERROR(FIND(Summary!$Q$89,A138))),Summary!$R$45,IF(H138&gt;Summary!$V$3,Summary!$R$46,Summary!$R$45))*(B138+30),0)</f>
        <v>3</v>
      </c>
      <c r="H138">
        <f>IF(H137&gt;Summary!$V$4,0,H137+F137)</f>
        <v>50745</v>
      </c>
      <c r="I138" s="26">
        <f>DATE(YEAR(Summary!$V$2),MONTH(Summary!$V$2),DAY(Summary!$V$2)+INT(H138/480))</f>
        <v>43695</v>
      </c>
      <c r="J138" s="27">
        <f t="shared" si="2"/>
        <v>0.57291666666666663</v>
      </c>
    </row>
    <row r="139" spans="1:10">
      <c r="A139" t="str">
        <f>VLOOKUP(Summary!M138,Summary!$P$13:$Q$24,2)</f>
        <v>B1200-lime</v>
      </c>
      <c r="B139">
        <f>ROUND(NORMINV(Summary!M140,VLOOKUP(A139,Summary!$Q$13:$S$24,3,FALSE),VLOOKUP(A139,Summary!$Q$13:$S$24,3,FALSE)/6),-1)</f>
        <v>740</v>
      </c>
      <c r="C139" t="str">
        <f>IF(AND(H139=0,C138=Summary!$P$2),Summary!$Q$2,IF(AND(H139=0,C138=Summary!$Q$2),Summary!$R$2,C138))</f>
        <v>Neesha</v>
      </c>
      <c r="D139" t="str">
        <f>IF(C139=Summary!$P$26,VLOOKUP(Summary!M146,Summary!$Q$26:$R$27,2),IF('Run Data'!C139=Summary!$P$28,VLOOKUP(Summary!M146,Summary!$Q$28:$R$29,2),VLOOKUP(Summary!M146,Summary!$Q$30:$R$32,2)))</f>
        <v>Sprig 4</v>
      </c>
      <c r="E139" t="str">
        <f>VLOOKUP(Summary!M149,Summary!$P$42:$Q$43,2)</f>
        <v>86</v>
      </c>
      <c r="F139">
        <f>IF(LEFT(A139,3)="B60",20,IF(LEFT(A139,3)="B12",30,25))+B139*0.5+INT(Summary!M152*20)</f>
        <v>419</v>
      </c>
      <c r="G139">
        <f>ROUND(IF(OR(ISERROR(FIND(Summary!$P$89,CONCATENATE(C139,D139,E139))),ISERROR(FIND(Summary!$Q$89,A139))),Summary!$R$45,IF(H139&gt;Summary!$V$3,Summary!$R$46,Summary!$R$45))*(B139+30),0)</f>
        <v>8</v>
      </c>
      <c r="H139">
        <f>IF(H138&gt;Summary!$V$4,0,H138+F138)</f>
        <v>50912</v>
      </c>
      <c r="I139" s="26">
        <f>DATE(YEAR(Summary!$V$2),MONTH(Summary!$V$2),DAY(Summary!$V$2)+INT(H139/480))</f>
        <v>43696</v>
      </c>
      <c r="J139" s="27">
        <f t="shared" si="2"/>
        <v>0.35555555555555557</v>
      </c>
    </row>
    <row r="140" spans="1:10">
      <c r="A140" t="str">
        <f>VLOOKUP(Summary!M139,Summary!$P$13:$Q$24,2)</f>
        <v>B1200-plum</v>
      </c>
      <c r="B140">
        <f>ROUND(NORMINV(Summary!M141,VLOOKUP(A140,Summary!$Q$13:$S$24,3,FALSE),VLOOKUP(A140,Summary!$Q$13:$S$24,3,FALSE)/6),-1)</f>
        <v>450</v>
      </c>
      <c r="C140" t="str">
        <f>IF(AND(H140=0,C139=Summary!$P$2),Summary!$Q$2,IF(AND(H140=0,C139=Summary!$Q$2),Summary!$R$2,C139))</f>
        <v>Neesha</v>
      </c>
      <c r="D140" t="str">
        <f>IF(C140=Summary!$P$26,VLOOKUP(Summary!M147,Summary!$Q$26:$R$27,2),IF('Run Data'!C140=Summary!$P$28,VLOOKUP(Summary!M147,Summary!$Q$28:$R$29,2),VLOOKUP(Summary!M147,Summary!$Q$30:$R$32,2)))</f>
        <v>Sprig 4</v>
      </c>
      <c r="E140" t="str">
        <f>VLOOKUP(Summary!M150,Summary!$P$42:$Q$43,2)</f>
        <v>86</v>
      </c>
      <c r="F140">
        <f>IF(LEFT(A140,3)="B60",20,IF(LEFT(A140,3)="B12",30,25))+B140*0.5+INT(Summary!M153*20)</f>
        <v>258</v>
      </c>
      <c r="G140">
        <f>ROUND(IF(OR(ISERROR(FIND(Summary!$P$89,CONCATENATE(C140,D140,E140))),ISERROR(FIND(Summary!$Q$89,A140))),Summary!$R$45,IF(H140&gt;Summary!$V$3,Summary!$R$46,Summary!$R$45))*(B140+30),0)</f>
        <v>5</v>
      </c>
      <c r="H140">
        <f>IF(H139&gt;Summary!$V$4,0,H139+F139)</f>
        <v>51331</v>
      </c>
      <c r="I140" s="26">
        <f>DATE(YEAR(Summary!$V$2),MONTH(Summary!$V$2),DAY(Summary!$V$2)+INT(H140/480))</f>
        <v>43696</v>
      </c>
      <c r="J140" s="27">
        <f t="shared" si="2"/>
        <v>0.64652777777777781</v>
      </c>
    </row>
    <row r="141" spans="1:10">
      <c r="A141" t="str">
        <f>VLOOKUP(Summary!M140,Summary!$P$13:$Q$24,2)</f>
        <v>B1200-sky</v>
      </c>
      <c r="B141">
        <f>ROUND(NORMINV(Summary!M142,VLOOKUP(A141,Summary!$Q$13:$S$24,3,FALSE),VLOOKUP(A141,Summary!$Q$13:$S$24,3,FALSE)/6),-1)</f>
        <v>1200</v>
      </c>
      <c r="C141" t="str">
        <f>IF(AND(H141=0,C140=Summary!$P$2),Summary!$Q$2,IF(AND(H141=0,C140=Summary!$Q$2),Summary!$R$2,C140))</f>
        <v>Neesha</v>
      </c>
      <c r="D141" t="str">
        <f>IF(C141=Summary!$P$26,VLOOKUP(Summary!M148,Summary!$Q$26:$R$27,2),IF('Run Data'!C141=Summary!$P$28,VLOOKUP(Summary!M148,Summary!$Q$28:$R$29,2),VLOOKUP(Summary!M148,Summary!$Q$30:$R$32,2)))</f>
        <v>Sprig 1</v>
      </c>
      <c r="E141" t="str">
        <f>VLOOKUP(Summary!M151,Summary!$P$42:$Q$43,2)</f>
        <v>86</v>
      </c>
      <c r="F141">
        <f>IF(LEFT(A141,3)="B60",20,IF(LEFT(A141,3)="B12",30,25))+B141*0.5+INT(Summary!M154*20)</f>
        <v>639</v>
      </c>
      <c r="G141">
        <f>ROUND(IF(OR(ISERROR(FIND(Summary!$P$89,CONCATENATE(C141,D141,E141))),ISERROR(FIND(Summary!$Q$89,A141))),Summary!$R$45,IF(H141&gt;Summary!$V$3,Summary!$R$46,Summary!$R$45))*(B141+30),0)</f>
        <v>12</v>
      </c>
      <c r="H141">
        <f>IF(H140&gt;Summary!$V$4,0,H140+F140)</f>
        <v>51589</v>
      </c>
      <c r="I141" s="26">
        <f>DATE(YEAR(Summary!$V$2),MONTH(Summary!$V$2),DAY(Summary!$V$2)+INT(H141/480))</f>
        <v>43697</v>
      </c>
      <c r="J141" s="27">
        <f t="shared" si="2"/>
        <v>0.49236111111111108</v>
      </c>
    </row>
    <row r="142" spans="1:10">
      <c r="A142" t="str">
        <f>VLOOKUP(Summary!M141,Summary!$P$13:$Q$24,2)</f>
        <v>B1200-fire</v>
      </c>
      <c r="B142">
        <f>ROUND(NORMINV(Summary!M143,VLOOKUP(A142,Summary!$Q$13:$S$24,3,FALSE),VLOOKUP(A142,Summary!$Q$13:$S$24,3,FALSE)/6),-1)</f>
        <v>1460</v>
      </c>
      <c r="C142" t="str">
        <f>IF(AND(H142=0,C141=Summary!$P$2),Summary!$Q$2,IF(AND(H142=0,C141=Summary!$Q$2),Summary!$R$2,C141))</f>
        <v>Neesha</v>
      </c>
      <c r="D142" t="str">
        <f>IF(C142=Summary!$P$26,VLOOKUP(Summary!M149,Summary!$Q$26:$R$27,2),IF('Run Data'!C142=Summary!$P$28,VLOOKUP(Summary!M149,Summary!$Q$28:$R$29,2),VLOOKUP(Summary!M149,Summary!$Q$30:$R$32,2)))</f>
        <v>Sprig 4</v>
      </c>
      <c r="E142" t="str">
        <f>VLOOKUP(Summary!M152,Summary!$P$42:$Q$43,2)</f>
        <v>87b</v>
      </c>
      <c r="F142">
        <f>IF(LEFT(A142,3)="B60",20,IF(LEFT(A142,3)="B12",30,25))+B142*0.5+INT(Summary!M155*20)</f>
        <v>761</v>
      </c>
      <c r="G142">
        <f>ROUND(IF(OR(ISERROR(FIND(Summary!$P$89,CONCATENATE(C142,D142,E142))),ISERROR(FIND(Summary!$Q$89,A142))),Summary!$R$45,IF(H142&gt;Summary!$V$3,Summary!$R$46,Summary!$R$45))*(B142+30),0)</f>
        <v>15</v>
      </c>
      <c r="H142">
        <f>IF(H141&gt;Summary!$V$4,0,H141+F141)</f>
        <v>52228</v>
      </c>
      <c r="I142" s="26">
        <f>DATE(YEAR(Summary!$V$2),MONTH(Summary!$V$2),DAY(Summary!$V$2)+INT(H142/480))</f>
        <v>43698</v>
      </c>
      <c r="J142" s="27">
        <f t="shared" si="2"/>
        <v>0.60277777777777775</v>
      </c>
    </row>
    <row r="143" spans="1:10">
      <c r="A143" t="str">
        <f>VLOOKUP(Summary!M142,Summary!$P$13:$Q$24,2)</f>
        <v>B1200-fire</v>
      </c>
      <c r="B143">
        <f>ROUND(NORMINV(Summary!M144,VLOOKUP(A143,Summary!$Q$13:$S$24,3,FALSE),VLOOKUP(A143,Summary!$Q$13:$S$24,3,FALSE)/6),-1)</f>
        <v>1200</v>
      </c>
      <c r="C143" t="str">
        <f>IF(AND(H143=0,C142=Summary!$P$2),Summary!$Q$2,IF(AND(H143=0,C142=Summary!$Q$2),Summary!$R$2,C142))</f>
        <v>Neesha</v>
      </c>
      <c r="D143" t="str">
        <f>IF(C143=Summary!$P$26,VLOOKUP(Summary!M150,Summary!$Q$26:$R$27,2),IF('Run Data'!C143=Summary!$P$28,VLOOKUP(Summary!M150,Summary!$Q$28:$R$29,2),VLOOKUP(Summary!M150,Summary!$Q$30:$R$32,2)))</f>
        <v>Sprig 1</v>
      </c>
      <c r="E143" t="str">
        <f>VLOOKUP(Summary!M153,Summary!$P$42:$Q$43,2)</f>
        <v>86</v>
      </c>
      <c r="F143">
        <f>IF(LEFT(A143,3)="B60",20,IF(LEFT(A143,3)="B12",30,25))+B143*0.5+INT(Summary!M156*20)</f>
        <v>645</v>
      </c>
      <c r="G143">
        <f>ROUND(IF(OR(ISERROR(FIND(Summary!$P$89,CONCATENATE(C143,D143,E143))),ISERROR(FIND(Summary!$Q$89,A143))),Summary!$R$45,IF(H143&gt;Summary!$V$3,Summary!$R$46,Summary!$R$45))*(B143+30),0)</f>
        <v>12</v>
      </c>
      <c r="H143">
        <f>IF(H142&gt;Summary!$V$4,0,H142+F142)</f>
        <v>52989</v>
      </c>
      <c r="I143" s="26">
        <f>DATE(YEAR(Summary!$V$2),MONTH(Summary!$V$2),DAY(Summary!$V$2)+INT(H143/480))</f>
        <v>43700</v>
      </c>
      <c r="J143" s="27">
        <f t="shared" si="2"/>
        <v>0.46458333333333335</v>
      </c>
    </row>
    <row r="144" spans="1:10">
      <c r="A144" t="str">
        <f>VLOOKUP(Summary!M143,Summary!$P$13:$Q$24,2)</f>
        <v>B1700-fire</v>
      </c>
      <c r="B144">
        <f>ROUND(NORMINV(Summary!M145,VLOOKUP(A144,Summary!$Q$13:$S$24,3,FALSE),VLOOKUP(A144,Summary!$Q$13:$S$24,3,FALSE)/6),-1)</f>
        <v>640</v>
      </c>
      <c r="C144" t="str">
        <f>IF(AND(H144=0,C143=Summary!$P$2),Summary!$Q$2,IF(AND(H144=0,C143=Summary!$Q$2),Summary!$R$2,C143))</f>
        <v>Neesha</v>
      </c>
      <c r="D144" t="str">
        <f>IF(C144=Summary!$P$26,VLOOKUP(Summary!M151,Summary!$Q$26:$R$27,2),IF('Run Data'!C144=Summary!$P$28,VLOOKUP(Summary!M151,Summary!$Q$28:$R$29,2),VLOOKUP(Summary!M151,Summary!$Q$30:$R$32,2)))</f>
        <v>Sprig 1</v>
      </c>
      <c r="E144" t="str">
        <f>VLOOKUP(Summary!M154,Summary!$P$42:$Q$43,2)</f>
        <v>86</v>
      </c>
      <c r="F144">
        <f>IF(LEFT(A144,3)="B60",20,IF(LEFT(A144,3)="B12",30,25))+B144*0.5+INT(Summary!M157*20)</f>
        <v>346</v>
      </c>
      <c r="G144">
        <f>ROUND(IF(OR(ISERROR(FIND(Summary!$P$89,CONCATENATE(C144,D144,E144))),ISERROR(FIND(Summary!$Q$89,A144))),Summary!$R$45,IF(H144&gt;Summary!$V$3,Summary!$R$46,Summary!$R$45))*(B144+30),0)</f>
        <v>80</v>
      </c>
      <c r="H144">
        <f>IF(H143&gt;Summary!$V$4,0,H143+F143)</f>
        <v>53634</v>
      </c>
      <c r="I144" s="26">
        <f>DATE(YEAR(Summary!$V$2),MONTH(Summary!$V$2),DAY(Summary!$V$2)+INT(H144/480))</f>
        <v>43701</v>
      </c>
      <c r="J144" s="27">
        <f t="shared" si="2"/>
        <v>0.57916666666666672</v>
      </c>
    </row>
    <row r="145" spans="1:10">
      <c r="A145" t="str">
        <f>VLOOKUP(Summary!M144,Summary!$P$13:$Q$24,2)</f>
        <v>B1200-fire</v>
      </c>
      <c r="B145">
        <f>ROUND(NORMINV(Summary!M146,VLOOKUP(A145,Summary!$Q$13:$S$24,3,FALSE),VLOOKUP(A145,Summary!$Q$13:$S$24,3,FALSE)/6),-1)</f>
        <v>1630</v>
      </c>
      <c r="C145" t="str">
        <f>IF(AND(H145=0,C144=Summary!$P$2),Summary!$Q$2,IF(AND(H145=0,C144=Summary!$Q$2),Summary!$R$2,C144))</f>
        <v>Neesha</v>
      </c>
      <c r="D145" t="str">
        <f>IF(C145=Summary!$P$26,VLOOKUP(Summary!M152,Summary!$Q$26:$R$27,2),IF('Run Data'!C145=Summary!$P$28,VLOOKUP(Summary!M152,Summary!$Q$28:$R$29,2),VLOOKUP(Summary!M152,Summary!$Q$30:$R$32,2)))</f>
        <v>Sprig 4</v>
      </c>
      <c r="E145" t="str">
        <f>VLOOKUP(Summary!M155,Summary!$P$42:$Q$43,2)</f>
        <v>86</v>
      </c>
      <c r="F145">
        <f>IF(LEFT(A145,3)="B60",20,IF(LEFT(A145,3)="B12",30,25))+B145*0.5+INT(Summary!M158*20)</f>
        <v>857</v>
      </c>
      <c r="G145">
        <f>ROUND(IF(OR(ISERROR(FIND(Summary!$P$89,CONCATENATE(C145,D145,E145))),ISERROR(FIND(Summary!$Q$89,A145))),Summary!$R$45,IF(H145&gt;Summary!$V$3,Summary!$R$46,Summary!$R$45))*(B145+30),0)</f>
        <v>17</v>
      </c>
      <c r="H145">
        <f>IF(H144&gt;Summary!$V$4,0,H144+F144)</f>
        <v>53980</v>
      </c>
      <c r="I145" s="26">
        <f>DATE(YEAR(Summary!$V$2),MONTH(Summary!$V$2),DAY(Summary!$V$2)+INT(H145/480))</f>
        <v>43702</v>
      </c>
      <c r="J145" s="27">
        <f t="shared" ref="J145:J208" si="3">TIME(INT(MOD(H145,480)/60)+8,MOD(MOD(H145,480),60),0)</f>
        <v>0.4861111111111111</v>
      </c>
    </row>
    <row r="146" spans="1:10">
      <c r="A146" t="str">
        <f>VLOOKUP(Summary!M145,Summary!$P$13:$Q$24,2)</f>
        <v>B600-lime</v>
      </c>
      <c r="B146">
        <f>ROUND(NORMINV(Summary!M147,VLOOKUP(A146,Summary!$Q$13:$S$24,3,FALSE),VLOOKUP(A146,Summary!$Q$13:$S$24,3,FALSE)/6),-1)</f>
        <v>400</v>
      </c>
      <c r="C146" t="str">
        <f>IF(AND(H146=0,C145=Summary!$P$2),Summary!$Q$2,IF(AND(H146=0,C145=Summary!$Q$2),Summary!$R$2,C145))</f>
        <v>Neesha</v>
      </c>
      <c r="D146" t="str">
        <f>IF(C146=Summary!$P$26,VLOOKUP(Summary!M153,Summary!$Q$26:$R$27,2),IF('Run Data'!C146=Summary!$P$28,VLOOKUP(Summary!M153,Summary!$Q$28:$R$29,2),VLOOKUP(Summary!M153,Summary!$Q$30:$R$32,2)))</f>
        <v>Sprig 1</v>
      </c>
      <c r="E146" t="str">
        <f>VLOOKUP(Summary!M156,Summary!$P$42:$Q$43,2)</f>
        <v>86</v>
      </c>
      <c r="F146">
        <f>IF(LEFT(A146,3)="B60",20,IF(LEFT(A146,3)="B12",30,25))+B146*0.5+INT(Summary!M159*20)</f>
        <v>228</v>
      </c>
      <c r="G146">
        <f>ROUND(IF(OR(ISERROR(FIND(Summary!$P$89,CONCATENATE(C146,D146,E146))),ISERROR(FIND(Summary!$Q$89,A146))),Summary!$R$45,IF(H146&gt;Summary!$V$3,Summary!$R$46,Summary!$R$45))*(B146+30),0)</f>
        <v>4</v>
      </c>
      <c r="H146">
        <f>IF(H145&gt;Summary!$V$4,0,H145+F145)</f>
        <v>54837</v>
      </c>
      <c r="I146" s="26">
        <f>DATE(YEAR(Summary!$V$2),MONTH(Summary!$V$2),DAY(Summary!$V$2)+INT(H146/480))</f>
        <v>43704</v>
      </c>
      <c r="J146" s="27">
        <f t="shared" si="3"/>
        <v>0.4145833333333333</v>
      </c>
    </row>
    <row r="147" spans="1:10">
      <c r="A147" t="str">
        <f>VLOOKUP(Summary!M146,Summary!$P$13:$Q$24,2)</f>
        <v>B1700-lime</v>
      </c>
      <c r="B147">
        <f>ROUND(NORMINV(Summary!M148,VLOOKUP(A147,Summary!$Q$13:$S$24,3,FALSE),VLOOKUP(A147,Summary!$Q$13:$S$24,3,FALSE)/6),-1)</f>
        <v>340</v>
      </c>
      <c r="C147" t="str">
        <f>IF(AND(H147=0,C146=Summary!$P$2),Summary!$Q$2,IF(AND(H147=0,C146=Summary!$Q$2),Summary!$R$2,C146))</f>
        <v>Neesha</v>
      </c>
      <c r="D147" t="str">
        <f>IF(C147=Summary!$P$26,VLOOKUP(Summary!M154,Summary!$Q$26:$R$27,2),IF('Run Data'!C147=Summary!$P$28,VLOOKUP(Summary!M154,Summary!$Q$28:$R$29,2),VLOOKUP(Summary!M154,Summary!$Q$30:$R$32,2)))</f>
        <v>Sprig 1</v>
      </c>
      <c r="E147" t="str">
        <f>VLOOKUP(Summary!M157,Summary!$P$42:$Q$43,2)</f>
        <v>86</v>
      </c>
      <c r="F147">
        <f>IF(LEFT(A147,3)="B60",20,IF(LEFT(A147,3)="B12",30,25))+B147*0.5+INT(Summary!M160*20)</f>
        <v>209</v>
      </c>
      <c r="G147">
        <f>ROUND(IF(OR(ISERROR(FIND(Summary!$P$89,CONCATENATE(C147,D147,E147))),ISERROR(FIND(Summary!$Q$89,A147))),Summary!$R$45,IF(H147&gt;Summary!$V$3,Summary!$R$46,Summary!$R$45))*(B147+30),0)</f>
        <v>44</v>
      </c>
      <c r="H147">
        <f>IF(H146&gt;Summary!$V$4,0,H146+F146)</f>
        <v>55065</v>
      </c>
      <c r="I147" s="26">
        <f>DATE(YEAR(Summary!$V$2),MONTH(Summary!$V$2),DAY(Summary!$V$2)+INT(H147/480))</f>
        <v>43704</v>
      </c>
      <c r="J147" s="27">
        <f t="shared" si="3"/>
        <v>0.57291666666666663</v>
      </c>
    </row>
    <row r="148" spans="1:10">
      <c r="A148" t="str">
        <f>VLOOKUP(Summary!M147,Summary!$P$13:$Q$24,2)</f>
        <v>B1700-lime</v>
      </c>
      <c r="B148">
        <f>ROUND(NORMINV(Summary!M149,VLOOKUP(A148,Summary!$Q$13:$S$24,3,FALSE),VLOOKUP(A148,Summary!$Q$13:$S$24,3,FALSE)/6),-1)</f>
        <v>450</v>
      </c>
      <c r="C148" t="str">
        <f>IF(AND(H148=0,C147=Summary!$P$2),Summary!$Q$2,IF(AND(H148=0,C147=Summary!$Q$2),Summary!$R$2,C147))</f>
        <v>Neesha</v>
      </c>
      <c r="D148" t="str">
        <f>IF(C148=Summary!$P$26,VLOOKUP(Summary!M155,Summary!$Q$26:$R$27,2),IF('Run Data'!C148=Summary!$P$28,VLOOKUP(Summary!M155,Summary!$Q$28:$R$29,2),VLOOKUP(Summary!M155,Summary!$Q$30:$R$32,2)))</f>
        <v>Sprig 1</v>
      </c>
      <c r="E148" t="str">
        <f>VLOOKUP(Summary!M158,Summary!$P$42:$Q$43,2)</f>
        <v>86</v>
      </c>
      <c r="F148">
        <f>IF(LEFT(A148,3)="B60",20,IF(LEFT(A148,3)="B12",30,25))+B148*0.5+INT(Summary!M161*20)</f>
        <v>267</v>
      </c>
      <c r="G148">
        <f>ROUND(IF(OR(ISERROR(FIND(Summary!$P$89,CONCATENATE(C148,D148,E148))),ISERROR(FIND(Summary!$Q$89,A148))),Summary!$R$45,IF(H148&gt;Summary!$V$3,Summary!$R$46,Summary!$R$45))*(B148+30),0)</f>
        <v>58</v>
      </c>
      <c r="H148">
        <f>IF(H147&gt;Summary!$V$4,0,H147+F147)</f>
        <v>55274</v>
      </c>
      <c r="I148" s="26">
        <f>DATE(YEAR(Summary!$V$2),MONTH(Summary!$V$2),DAY(Summary!$V$2)+INT(H148/480))</f>
        <v>43705</v>
      </c>
      <c r="J148" s="27">
        <f t="shared" si="3"/>
        <v>0.38472222222222219</v>
      </c>
    </row>
    <row r="149" spans="1:10">
      <c r="A149" t="str">
        <f>VLOOKUP(Summary!M148,Summary!$P$13:$Q$24,2)</f>
        <v>B600-lime</v>
      </c>
      <c r="B149">
        <f>ROUND(NORMINV(Summary!M150,VLOOKUP(A149,Summary!$Q$13:$S$24,3,FALSE),VLOOKUP(A149,Summary!$Q$13:$S$24,3,FALSE)/6),-1)</f>
        <v>260</v>
      </c>
      <c r="C149" t="str">
        <f>IF(AND(H149=0,C148=Summary!$P$2),Summary!$Q$2,IF(AND(H149=0,C148=Summary!$Q$2),Summary!$R$2,C148))</f>
        <v>Neesha</v>
      </c>
      <c r="D149" t="str">
        <f>IF(C149=Summary!$P$26,VLOOKUP(Summary!M156,Summary!$Q$26:$R$27,2),IF('Run Data'!C149=Summary!$P$28,VLOOKUP(Summary!M156,Summary!$Q$28:$R$29,2),VLOOKUP(Summary!M156,Summary!$Q$30:$R$32,2)))</f>
        <v>Sprig 4</v>
      </c>
      <c r="E149" t="str">
        <f>VLOOKUP(Summary!M159,Summary!$P$42:$Q$43,2)</f>
        <v>86</v>
      </c>
      <c r="F149">
        <f>IF(LEFT(A149,3)="B60",20,IF(LEFT(A149,3)="B12",30,25))+B149*0.5+INT(Summary!M162*20)</f>
        <v>168</v>
      </c>
      <c r="G149">
        <f>ROUND(IF(OR(ISERROR(FIND(Summary!$P$89,CONCATENATE(C149,D149,E149))),ISERROR(FIND(Summary!$Q$89,A149))),Summary!$R$45,IF(H149&gt;Summary!$V$3,Summary!$R$46,Summary!$R$45))*(B149+30),0)</f>
        <v>3</v>
      </c>
      <c r="H149">
        <f>IF(H148&gt;Summary!$V$4,0,H148+F148)</f>
        <v>55541</v>
      </c>
      <c r="I149" s="26">
        <f>DATE(YEAR(Summary!$V$2),MONTH(Summary!$V$2),DAY(Summary!$V$2)+INT(H149/480))</f>
        <v>43705</v>
      </c>
      <c r="J149" s="27">
        <f t="shared" si="3"/>
        <v>0.57013888888888886</v>
      </c>
    </row>
    <row r="150" spans="1:10">
      <c r="A150" t="str">
        <f>VLOOKUP(Summary!M149,Summary!$P$13:$Q$24,2)</f>
        <v>B1700-sky</v>
      </c>
      <c r="B150">
        <f>ROUND(NORMINV(Summary!M151,VLOOKUP(A150,Summary!$Q$13:$S$24,3,FALSE),VLOOKUP(A150,Summary!$Q$13:$S$24,3,FALSE)/6),-1)</f>
        <v>570</v>
      </c>
      <c r="C150" t="str">
        <f>IF(AND(H150=0,C149=Summary!$P$2),Summary!$Q$2,IF(AND(H150=0,C149=Summary!$Q$2),Summary!$R$2,C149))</f>
        <v>Neesha</v>
      </c>
      <c r="D150" t="str">
        <f>IF(C150=Summary!$P$26,VLOOKUP(Summary!M157,Summary!$Q$26:$R$27,2),IF('Run Data'!C150=Summary!$P$28,VLOOKUP(Summary!M157,Summary!$Q$28:$R$29,2),VLOOKUP(Summary!M157,Summary!$Q$30:$R$32,2)))</f>
        <v>Sprig 1</v>
      </c>
      <c r="E150" t="str">
        <f>VLOOKUP(Summary!M160,Summary!$P$42:$Q$43,2)</f>
        <v>86</v>
      </c>
      <c r="F150">
        <f>IF(LEFT(A150,3)="B60",20,IF(LEFT(A150,3)="B12",30,25))+B150*0.5+INT(Summary!M163*20)</f>
        <v>319</v>
      </c>
      <c r="G150">
        <f>ROUND(IF(OR(ISERROR(FIND(Summary!$P$89,CONCATENATE(C150,D150,E150))),ISERROR(FIND(Summary!$Q$89,A150))),Summary!$R$45,IF(H150&gt;Summary!$V$3,Summary!$R$46,Summary!$R$45))*(B150+30),0)</f>
        <v>72</v>
      </c>
      <c r="H150">
        <f>IF(H149&gt;Summary!$V$4,0,H149+F149)</f>
        <v>55709</v>
      </c>
      <c r="I150" s="26">
        <f>DATE(YEAR(Summary!$V$2),MONTH(Summary!$V$2),DAY(Summary!$V$2)+INT(H150/480))</f>
        <v>43706</v>
      </c>
      <c r="J150" s="27">
        <f t="shared" si="3"/>
        <v>0.35347222222222219</v>
      </c>
    </row>
    <row r="151" spans="1:10">
      <c r="A151" t="str">
        <f>VLOOKUP(Summary!M150,Summary!$P$13:$Q$24,2)</f>
        <v>B600-lime</v>
      </c>
      <c r="B151">
        <f>ROUND(NORMINV(Summary!M152,VLOOKUP(A151,Summary!$Q$13:$S$24,3,FALSE),VLOOKUP(A151,Summary!$Q$13:$S$24,3,FALSE)/6),-1)</f>
        <v>420</v>
      </c>
      <c r="C151" t="str">
        <f>IF(AND(H151=0,C150=Summary!$P$2),Summary!$Q$2,IF(AND(H151=0,C150=Summary!$Q$2),Summary!$R$2,C150))</f>
        <v>Neesha</v>
      </c>
      <c r="D151" t="str">
        <f>IF(C151=Summary!$P$26,VLOOKUP(Summary!M158,Summary!$Q$26:$R$27,2),IF('Run Data'!C151=Summary!$P$28,VLOOKUP(Summary!M158,Summary!$Q$28:$R$29,2),VLOOKUP(Summary!M158,Summary!$Q$30:$R$32,2)))</f>
        <v>Sprig 1</v>
      </c>
      <c r="E151" t="str">
        <f>VLOOKUP(Summary!M161,Summary!$P$42:$Q$43,2)</f>
        <v>87b</v>
      </c>
      <c r="F151">
        <f>IF(LEFT(A151,3)="B60",20,IF(LEFT(A151,3)="B12",30,25))+B151*0.5+INT(Summary!M164*20)</f>
        <v>238</v>
      </c>
      <c r="G151">
        <f>ROUND(IF(OR(ISERROR(FIND(Summary!$P$89,CONCATENATE(C151,D151,E151))),ISERROR(FIND(Summary!$Q$89,A151))),Summary!$R$45,IF(H151&gt;Summary!$V$3,Summary!$R$46,Summary!$R$45))*(B151+30),0)</f>
        <v>5</v>
      </c>
      <c r="H151">
        <f>IF(H150&gt;Summary!$V$4,0,H150+F150)</f>
        <v>56028</v>
      </c>
      <c r="I151" s="26">
        <f>DATE(YEAR(Summary!$V$2),MONTH(Summary!$V$2),DAY(Summary!$V$2)+INT(H151/480))</f>
        <v>43706</v>
      </c>
      <c r="J151" s="27">
        <f t="shared" si="3"/>
        <v>0.57500000000000007</v>
      </c>
    </row>
    <row r="152" spans="1:10">
      <c r="A152" t="str">
        <f>VLOOKUP(Summary!M151,Summary!$P$13:$Q$24,2)</f>
        <v>B1200-lime</v>
      </c>
      <c r="B152">
        <f>ROUND(NORMINV(Summary!M153,VLOOKUP(A152,Summary!$Q$13:$S$24,3,FALSE),VLOOKUP(A152,Summary!$Q$13:$S$24,3,FALSE)/6),-1)</f>
        <v>690</v>
      </c>
      <c r="C152" t="str">
        <f>IF(AND(H152=0,C151=Summary!$P$2),Summary!$Q$2,IF(AND(H152=0,C151=Summary!$Q$2),Summary!$R$2,C151))</f>
        <v>Neesha</v>
      </c>
      <c r="D152" t="str">
        <f>IF(C152=Summary!$P$26,VLOOKUP(Summary!M159,Summary!$Q$26:$R$27,2),IF('Run Data'!C152=Summary!$P$28,VLOOKUP(Summary!M159,Summary!$Q$28:$R$29,2),VLOOKUP(Summary!M159,Summary!$Q$30:$R$32,2)))</f>
        <v>Sprig 1</v>
      </c>
      <c r="E152" t="str">
        <f>VLOOKUP(Summary!M162,Summary!$P$42:$Q$43,2)</f>
        <v>87b</v>
      </c>
      <c r="F152">
        <f>IF(LEFT(A152,3)="B60",20,IF(LEFT(A152,3)="B12",30,25))+B152*0.5+INT(Summary!M165*20)</f>
        <v>389</v>
      </c>
      <c r="G152">
        <f>ROUND(IF(OR(ISERROR(FIND(Summary!$P$89,CONCATENATE(C152,D152,E152))),ISERROR(FIND(Summary!$Q$89,A152))),Summary!$R$45,IF(H152&gt;Summary!$V$3,Summary!$R$46,Summary!$R$45))*(B152+30),0)</f>
        <v>7</v>
      </c>
      <c r="H152">
        <f>IF(H151&gt;Summary!$V$4,0,H151+F151)</f>
        <v>56266</v>
      </c>
      <c r="I152" s="26">
        <f>DATE(YEAR(Summary!$V$2),MONTH(Summary!$V$2),DAY(Summary!$V$2)+INT(H152/480))</f>
        <v>43707</v>
      </c>
      <c r="J152" s="27">
        <f t="shared" si="3"/>
        <v>0.4069444444444445</v>
      </c>
    </row>
    <row r="153" spans="1:10">
      <c r="A153" t="str">
        <f>VLOOKUP(Summary!M152,Summary!$P$13:$Q$24,2)</f>
        <v>B1700-lime</v>
      </c>
      <c r="B153">
        <f>ROUND(NORMINV(Summary!M154,VLOOKUP(A153,Summary!$Q$13:$S$24,3,FALSE),VLOOKUP(A153,Summary!$Q$13:$S$24,3,FALSE)/6),-1)</f>
        <v>400</v>
      </c>
      <c r="C153" t="str">
        <f>IF(AND(H153=0,C152=Summary!$P$2),Summary!$Q$2,IF(AND(H153=0,C152=Summary!$Q$2),Summary!$R$2,C152))</f>
        <v>Neesha</v>
      </c>
      <c r="D153" t="str">
        <f>IF(C153=Summary!$P$26,VLOOKUP(Summary!M160,Summary!$Q$26:$R$27,2),IF('Run Data'!C153=Summary!$P$28,VLOOKUP(Summary!M160,Summary!$Q$28:$R$29,2),VLOOKUP(Summary!M160,Summary!$Q$30:$R$32,2)))</f>
        <v>Sprig 1</v>
      </c>
      <c r="E153" t="str">
        <f>VLOOKUP(Summary!M163,Summary!$P$42:$Q$43,2)</f>
        <v>86</v>
      </c>
      <c r="F153">
        <f>IF(LEFT(A153,3)="B60",20,IF(LEFT(A153,3)="B12",30,25))+B153*0.5+INT(Summary!M166*20)</f>
        <v>242</v>
      </c>
      <c r="G153">
        <f>ROUND(IF(OR(ISERROR(FIND(Summary!$P$89,CONCATENATE(C153,D153,E153))),ISERROR(FIND(Summary!$Q$89,A153))),Summary!$R$45,IF(H153&gt;Summary!$V$3,Summary!$R$46,Summary!$R$45))*(B153+30),0)</f>
        <v>52</v>
      </c>
      <c r="H153">
        <f>IF(H152&gt;Summary!$V$4,0,H152+F152)</f>
        <v>56655</v>
      </c>
      <c r="I153" s="26">
        <f>DATE(YEAR(Summary!$V$2),MONTH(Summary!$V$2),DAY(Summary!$V$2)+INT(H153/480))</f>
        <v>43708</v>
      </c>
      <c r="J153" s="27">
        <f t="shared" si="3"/>
        <v>0.34375</v>
      </c>
    </row>
    <row r="154" spans="1:10">
      <c r="A154" t="str">
        <f>VLOOKUP(Summary!M153,Summary!$P$13:$Q$24,2)</f>
        <v>B600-lime</v>
      </c>
      <c r="B154">
        <f>ROUND(NORMINV(Summary!M155,VLOOKUP(A154,Summary!$Q$13:$S$24,3,FALSE),VLOOKUP(A154,Summary!$Q$13:$S$24,3,FALSE)/6),-1)</f>
        <v>230</v>
      </c>
      <c r="C154" t="str">
        <f>IF(AND(H154=0,C153=Summary!$P$2),Summary!$Q$2,IF(AND(H154=0,C153=Summary!$Q$2),Summary!$R$2,C153))</f>
        <v>Neesha</v>
      </c>
      <c r="D154" t="str">
        <f>IF(C154=Summary!$P$26,VLOOKUP(Summary!M161,Summary!$Q$26:$R$27,2),IF('Run Data'!C154=Summary!$P$28,VLOOKUP(Summary!M161,Summary!$Q$28:$R$29,2),VLOOKUP(Summary!M161,Summary!$Q$30:$R$32,2)))</f>
        <v>Sprig 4</v>
      </c>
      <c r="E154" t="str">
        <f>VLOOKUP(Summary!M164,Summary!$P$42:$Q$43,2)</f>
        <v>86</v>
      </c>
      <c r="F154">
        <f>IF(LEFT(A154,3)="B60",20,IF(LEFT(A154,3)="B12",30,25))+B154*0.5+INT(Summary!M167*20)</f>
        <v>153</v>
      </c>
      <c r="G154">
        <f>ROUND(IF(OR(ISERROR(FIND(Summary!$P$89,CONCATENATE(C154,D154,E154))),ISERROR(FIND(Summary!$Q$89,A154))),Summary!$R$45,IF(H154&gt;Summary!$V$3,Summary!$R$46,Summary!$R$45))*(B154+30),0)</f>
        <v>3</v>
      </c>
      <c r="H154">
        <f>IF(H153&gt;Summary!$V$4,0,H153+F153)</f>
        <v>56897</v>
      </c>
      <c r="I154" s="26">
        <f>DATE(YEAR(Summary!$V$2),MONTH(Summary!$V$2),DAY(Summary!$V$2)+INT(H154/480))</f>
        <v>43708</v>
      </c>
      <c r="J154" s="27">
        <f t="shared" si="3"/>
        <v>0.51180555555555551</v>
      </c>
    </row>
    <row r="155" spans="1:10">
      <c r="A155" t="str">
        <f>VLOOKUP(Summary!M154,Summary!$P$13:$Q$24,2)</f>
        <v>B1200-fire</v>
      </c>
      <c r="B155">
        <f>ROUND(NORMINV(Summary!M156,VLOOKUP(A155,Summary!$Q$13:$S$24,3,FALSE),VLOOKUP(A155,Summary!$Q$13:$S$24,3,FALSE)/6),-1)</f>
        <v>1360</v>
      </c>
      <c r="C155" t="str">
        <f>IF(AND(H155=0,C154=Summary!$P$2),Summary!$Q$2,IF(AND(H155=0,C154=Summary!$Q$2),Summary!$R$2,C154))</f>
        <v>Neesha</v>
      </c>
      <c r="D155" t="str">
        <f>IF(C155=Summary!$P$26,VLOOKUP(Summary!M162,Summary!$Q$26:$R$27,2),IF('Run Data'!C155=Summary!$P$28,VLOOKUP(Summary!M162,Summary!$Q$28:$R$29,2),VLOOKUP(Summary!M162,Summary!$Q$30:$R$32,2)))</f>
        <v>Sprig 4</v>
      </c>
      <c r="E155" t="str">
        <f>VLOOKUP(Summary!M165,Summary!$P$42:$Q$43,2)</f>
        <v>86</v>
      </c>
      <c r="F155">
        <f>IF(LEFT(A155,3)="B60",20,IF(LEFT(A155,3)="B12",30,25))+B155*0.5+INT(Summary!M168*20)</f>
        <v>711</v>
      </c>
      <c r="G155">
        <f>ROUND(IF(OR(ISERROR(FIND(Summary!$P$89,CONCATENATE(C155,D155,E155))),ISERROR(FIND(Summary!$Q$89,A155))),Summary!$R$45,IF(H155&gt;Summary!$V$3,Summary!$R$46,Summary!$R$45))*(B155+30),0)</f>
        <v>14</v>
      </c>
      <c r="H155">
        <f>IF(H154&gt;Summary!$V$4,0,H154+F154)</f>
        <v>57050</v>
      </c>
      <c r="I155" s="26">
        <f>DATE(YEAR(Summary!$V$2),MONTH(Summary!$V$2),DAY(Summary!$V$2)+INT(H155/480))</f>
        <v>43708</v>
      </c>
      <c r="J155" s="27">
        <f t="shared" si="3"/>
        <v>0.61805555555555558</v>
      </c>
    </row>
    <row r="156" spans="1:10">
      <c r="A156" t="str">
        <f>VLOOKUP(Summary!M155,Summary!$P$13:$Q$24,2)</f>
        <v>B600-sky</v>
      </c>
      <c r="B156">
        <f>ROUND(NORMINV(Summary!M157,VLOOKUP(A156,Summary!$Q$13:$S$24,3,FALSE),VLOOKUP(A156,Summary!$Q$13:$S$24,3,FALSE)/6),-1)</f>
        <v>390</v>
      </c>
      <c r="C156" t="str">
        <f>IF(AND(H156=0,C155=Summary!$P$2),Summary!$Q$2,IF(AND(H156=0,C155=Summary!$Q$2),Summary!$R$2,C155))</f>
        <v>Neesha</v>
      </c>
      <c r="D156" t="str">
        <f>IF(C156=Summary!$P$26,VLOOKUP(Summary!M163,Summary!$Q$26:$R$27,2),IF('Run Data'!C156=Summary!$P$28,VLOOKUP(Summary!M163,Summary!$Q$28:$R$29,2),VLOOKUP(Summary!M163,Summary!$Q$30:$R$32,2)))</f>
        <v>Sprig 1</v>
      </c>
      <c r="E156" t="str">
        <f>VLOOKUP(Summary!M166,Summary!$P$42:$Q$43,2)</f>
        <v>87b</v>
      </c>
      <c r="F156">
        <f>IF(LEFT(A156,3)="B60",20,IF(LEFT(A156,3)="B12",30,25))+B156*0.5+INT(Summary!M169*20)</f>
        <v>224</v>
      </c>
      <c r="G156">
        <f>ROUND(IF(OR(ISERROR(FIND(Summary!$P$89,CONCATENATE(C156,D156,E156))),ISERROR(FIND(Summary!$Q$89,A156))),Summary!$R$45,IF(H156&gt;Summary!$V$3,Summary!$R$46,Summary!$R$45))*(B156+30),0)</f>
        <v>4</v>
      </c>
      <c r="H156">
        <f>IF(H155&gt;Summary!$V$4,0,H155+F155)</f>
        <v>57761</v>
      </c>
      <c r="I156" s="26">
        <f>DATE(YEAR(Summary!$V$2),MONTH(Summary!$V$2),DAY(Summary!$V$2)+INT(H156/480))</f>
        <v>43710</v>
      </c>
      <c r="J156" s="27">
        <f t="shared" si="3"/>
        <v>0.44513888888888892</v>
      </c>
    </row>
    <row r="157" spans="1:10">
      <c r="A157" t="str">
        <f>VLOOKUP(Summary!M156,Summary!$P$13:$Q$24,2)</f>
        <v>B1700-sky</v>
      </c>
      <c r="B157">
        <f>ROUND(NORMINV(Summary!M158,VLOOKUP(A157,Summary!$Q$13:$S$24,3,FALSE),VLOOKUP(A157,Summary!$Q$13:$S$24,3,FALSE)/6),-1)</f>
        <v>570</v>
      </c>
      <c r="C157" t="str">
        <f>IF(AND(H157=0,C156=Summary!$P$2),Summary!$Q$2,IF(AND(H157=0,C156=Summary!$Q$2),Summary!$R$2,C156))</f>
        <v>Neesha</v>
      </c>
      <c r="D157" t="str">
        <f>IF(C157=Summary!$P$26,VLOOKUP(Summary!M164,Summary!$Q$26:$R$27,2),IF('Run Data'!C157=Summary!$P$28,VLOOKUP(Summary!M164,Summary!$Q$28:$R$29,2),VLOOKUP(Summary!M164,Summary!$Q$30:$R$32,2)))</f>
        <v>Sprig 1</v>
      </c>
      <c r="E157" t="str">
        <f>VLOOKUP(Summary!M167,Summary!$P$42:$Q$43,2)</f>
        <v>87b</v>
      </c>
      <c r="F157">
        <f>IF(LEFT(A157,3)="B60",20,IF(LEFT(A157,3)="B12",30,25))+B157*0.5+INT(Summary!M170*20)</f>
        <v>315</v>
      </c>
      <c r="G157">
        <f>ROUND(IF(OR(ISERROR(FIND(Summary!$P$89,CONCATENATE(C157,D157,E157))),ISERROR(FIND(Summary!$Q$89,A157))),Summary!$R$45,IF(H157&gt;Summary!$V$3,Summary!$R$46,Summary!$R$45))*(B157+30),0)</f>
        <v>6</v>
      </c>
      <c r="H157">
        <f>IF(H156&gt;Summary!$V$4,0,H156+F156)</f>
        <v>57985</v>
      </c>
      <c r="I157" s="26">
        <f>DATE(YEAR(Summary!$V$2),MONTH(Summary!$V$2),DAY(Summary!$V$2)+INT(H157/480))</f>
        <v>43710</v>
      </c>
      <c r="J157" s="27">
        <f t="shared" si="3"/>
        <v>0.60069444444444442</v>
      </c>
    </row>
    <row r="158" spans="1:10">
      <c r="A158" t="str">
        <f>VLOOKUP(Summary!M157,Summary!$P$13:$Q$24,2)</f>
        <v>B600-sky</v>
      </c>
      <c r="B158">
        <f>ROUND(NORMINV(Summary!M159,VLOOKUP(A158,Summary!$Q$13:$S$24,3,FALSE),VLOOKUP(A158,Summary!$Q$13:$S$24,3,FALSE)/6),-1)</f>
        <v>480</v>
      </c>
      <c r="C158" t="str">
        <f>IF(AND(H158=0,C157=Summary!$P$2),Summary!$Q$2,IF(AND(H158=0,C157=Summary!$Q$2),Summary!$R$2,C157))</f>
        <v>Neesha</v>
      </c>
      <c r="D158" t="str">
        <f>IF(C158=Summary!$P$26,VLOOKUP(Summary!M165,Summary!$Q$26:$R$27,2),IF('Run Data'!C158=Summary!$P$28,VLOOKUP(Summary!M165,Summary!$Q$28:$R$29,2),VLOOKUP(Summary!M165,Summary!$Q$30:$R$32,2)))</f>
        <v>Sprig 1</v>
      </c>
      <c r="E158" t="str">
        <f>VLOOKUP(Summary!M168,Summary!$P$42:$Q$43,2)</f>
        <v>86</v>
      </c>
      <c r="F158">
        <f>IF(LEFT(A158,3)="B60",20,IF(LEFT(A158,3)="B12",30,25))+B158*0.5+INT(Summary!M171*20)</f>
        <v>263</v>
      </c>
      <c r="G158">
        <f>ROUND(IF(OR(ISERROR(FIND(Summary!$P$89,CONCATENATE(C158,D158,E158))),ISERROR(FIND(Summary!$Q$89,A158))),Summary!$R$45,IF(H158&gt;Summary!$V$3,Summary!$R$46,Summary!$R$45))*(B158+30),0)</f>
        <v>5</v>
      </c>
      <c r="H158">
        <f>IF(H157&gt;Summary!$V$4,0,H157+F157)</f>
        <v>58300</v>
      </c>
      <c r="I158" s="26">
        <f>DATE(YEAR(Summary!$V$2),MONTH(Summary!$V$2),DAY(Summary!$V$2)+INT(H158/480))</f>
        <v>43711</v>
      </c>
      <c r="J158" s="27">
        <f t="shared" si="3"/>
        <v>0.4861111111111111</v>
      </c>
    </row>
    <row r="159" spans="1:10">
      <c r="A159" t="str">
        <f>VLOOKUP(Summary!M158,Summary!$P$13:$Q$24,2)</f>
        <v>B1200-lime</v>
      </c>
      <c r="B159">
        <f>ROUND(NORMINV(Summary!M160,VLOOKUP(A159,Summary!$Q$13:$S$24,3,FALSE),VLOOKUP(A159,Summary!$Q$13:$S$24,3,FALSE)/6),-1)</f>
        <v>880</v>
      </c>
      <c r="C159" t="str">
        <f>IF(AND(H159=0,C158=Summary!$P$2),Summary!$Q$2,IF(AND(H159=0,C158=Summary!$Q$2),Summary!$R$2,C158))</f>
        <v>Neesha</v>
      </c>
      <c r="D159" t="str">
        <f>IF(C159=Summary!$P$26,VLOOKUP(Summary!M166,Summary!$Q$26:$R$27,2),IF('Run Data'!C159=Summary!$P$28,VLOOKUP(Summary!M166,Summary!$Q$28:$R$29,2),VLOOKUP(Summary!M166,Summary!$Q$30:$R$32,2)))</f>
        <v>Sprig 4</v>
      </c>
      <c r="E159" t="str">
        <f>VLOOKUP(Summary!M169,Summary!$P$42:$Q$43,2)</f>
        <v>86</v>
      </c>
      <c r="F159">
        <f>IF(LEFT(A159,3)="B60",20,IF(LEFT(A159,3)="B12",30,25))+B159*0.5+INT(Summary!M172*20)</f>
        <v>472</v>
      </c>
      <c r="G159">
        <f>ROUND(IF(OR(ISERROR(FIND(Summary!$P$89,CONCATENATE(C159,D159,E159))),ISERROR(FIND(Summary!$Q$89,A159))),Summary!$R$45,IF(H159&gt;Summary!$V$3,Summary!$R$46,Summary!$R$45))*(B159+30),0)</f>
        <v>9</v>
      </c>
      <c r="H159">
        <f>IF(H158&gt;Summary!$V$4,0,H158+F158)</f>
        <v>58563</v>
      </c>
      <c r="I159" s="26">
        <f>DATE(YEAR(Summary!$V$2),MONTH(Summary!$V$2),DAY(Summary!$V$2)+INT(H159/480))</f>
        <v>43712</v>
      </c>
      <c r="J159" s="27">
        <f t="shared" si="3"/>
        <v>0.3354166666666667</v>
      </c>
    </row>
    <row r="160" spans="1:10">
      <c r="A160" t="str">
        <f>VLOOKUP(Summary!M159,Summary!$P$13:$Q$24,2)</f>
        <v>B1200-sky</v>
      </c>
      <c r="B160">
        <f>ROUND(NORMINV(Summary!M161,VLOOKUP(A160,Summary!$Q$13:$S$24,3,FALSE),VLOOKUP(A160,Summary!$Q$13:$S$24,3,FALSE)/6),-1)</f>
        <v>1450</v>
      </c>
      <c r="C160" t="str">
        <f>IF(AND(H160=0,C159=Summary!$P$2),Summary!$Q$2,IF(AND(H160=0,C159=Summary!$Q$2),Summary!$R$2,C159))</f>
        <v>Neesha</v>
      </c>
      <c r="D160" t="str">
        <f>IF(C160=Summary!$P$26,VLOOKUP(Summary!M167,Summary!$Q$26:$R$27,2),IF('Run Data'!C160=Summary!$P$28,VLOOKUP(Summary!M167,Summary!$Q$28:$R$29,2),VLOOKUP(Summary!M167,Summary!$Q$30:$R$32,2)))</f>
        <v>Sprig 4</v>
      </c>
      <c r="E160" t="str">
        <f>VLOOKUP(Summary!M170,Summary!$P$42:$Q$43,2)</f>
        <v>86</v>
      </c>
      <c r="F160">
        <f>IF(LEFT(A160,3)="B60",20,IF(LEFT(A160,3)="B12",30,25))+B160*0.5+INT(Summary!M173*20)</f>
        <v>761</v>
      </c>
      <c r="G160">
        <f>ROUND(IF(OR(ISERROR(FIND(Summary!$P$89,CONCATENATE(C160,D160,E160))),ISERROR(FIND(Summary!$Q$89,A160))),Summary!$R$45,IF(H160&gt;Summary!$V$3,Summary!$R$46,Summary!$R$45))*(B160+30),0)</f>
        <v>15</v>
      </c>
      <c r="H160">
        <f>IF(H159&gt;Summary!$V$4,0,H159+F159)</f>
        <v>59035</v>
      </c>
      <c r="I160" s="26">
        <f>DATE(YEAR(Summary!$V$2),MONTH(Summary!$V$2),DAY(Summary!$V$2)+INT(H160/480))</f>
        <v>43712</v>
      </c>
      <c r="J160" s="27">
        <f t="shared" si="3"/>
        <v>0.66319444444444442</v>
      </c>
    </row>
    <row r="161" spans="1:10">
      <c r="A161" t="str">
        <f>VLOOKUP(Summary!M160,Summary!$P$13:$Q$24,2)</f>
        <v>B1700-plum</v>
      </c>
      <c r="B161">
        <f>ROUND(NORMINV(Summary!M162,VLOOKUP(A161,Summary!$Q$13:$S$24,3,FALSE),VLOOKUP(A161,Summary!$Q$13:$S$24,3,FALSE)/6),-1)</f>
        <v>370</v>
      </c>
      <c r="C161" t="str">
        <f>IF(AND(H161=0,C160=Summary!$P$2),Summary!$Q$2,IF(AND(H161=0,C160=Summary!$Q$2),Summary!$R$2,C160))</f>
        <v>Neesha</v>
      </c>
      <c r="D161" t="str">
        <f>IF(C161=Summary!$P$26,VLOOKUP(Summary!M168,Summary!$Q$26:$R$27,2),IF('Run Data'!C161=Summary!$P$28,VLOOKUP(Summary!M168,Summary!$Q$28:$R$29,2),VLOOKUP(Summary!M168,Summary!$Q$30:$R$32,2)))</f>
        <v>Sprig 1</v>
      </c>
      <c r="E161" t="str">
        <f>VLOOKUP(Summary!M171,Summary!$P$42:$Q$43,2)</f>
        <v>86</v>
      </c>
      <c r="F161">
        <f>IF(LEFT(A161,3)="B60",20,IF(LEFT(A161,3)="B12",30,25))+B161*0.5+INT(Summary!M174*20)</f>
        <v>229</v>
      </c>
      <c r="G161">
        <f>ROUND(IF(OR(ISERROR(FIND(Summary!$P$89,CONCATENATE(C161,D161,E161))),ISERROR(FIND(Summary!$Q$89,A161))),Summary!$R$45,IF(H161&gt;Summary!$V$3,Summary!$R$46,Summary!$R$45))*(B161+30),0)</f>
        <v>48</v>
      </c>
      <c r="H161">
        <f>IF(H160&gt;Summary!$V$4,0,H160+F160)</f>
        <v>59796</v>
      </c>
      <c r="I161" s="26">
        <f>DATE(YEAR(Summary!$V$2),MONTH(Summary!$V$2),DAY(Summary!$V$2)+INT(H161/480))</f>
        <v>43714</v>
      </c>
      <c r="J161" s="27">
        <f t="shared" si="3"/>
        <v>0.52500000000000002</v>
      </c>
    </row>
    <row r="162" spans="1:10">
      <c r="A162" t="str">
        <f>VLOOKUP(Summary!M161,Summary!$P$13:$Q$24,2)</f>
        <v>B1700-fire</v>
      </c>
      <c r="B162">
        <f>ROUND(NORMINV(Summary!M163,VLOOKUP(A162,Summary!$Q$13:$S$24,3,FALSE),VLOOKUP(A162,Summary!$Q$13:$S$24,3,FALSE)/6),-1)</f>
        <v>740</v>
      </c>
      <c r="C162" t="str">
        <f>IF(AND(H162=0,C161=Summary!$P$2),Summary!$Q$2,IF(AND(H162=0,C161=Summary!$Q$2),Summary!$R$2,C161))</f>
        <v>Neesha</v>
      </c>
      <c r="D162" t="str">
        <f>IF(C162=Summary!$P$26,VLOOKUP(Summary!M169,Summary!$Q$26:$R$27,2),IF('Run Data'!C162=Summary!$P$28,VLOOKUP(Summary!M169,Summary!$Q$28:$R$29,2),VLOOKUP(Summary!M169,Summary!$Q$30:$R$32,2)))</f>
        <v>Sprig 1</v>
      </c>
      <c r="E162" t="str">
        <f>VLOOKUP(Summary!M172,Summary!$P$42:$Q$43,2)</f>
        <v>86</v>
      </c>
      <c r="F162">
        <f>IF(LEFT(A162,3)="B60",20,IF(LEFT(A162,3)="B12",30,25))+B162*0.5+INT(Summary!M175*20)</f>
        <v>402</v>
      </c>
      <c r="G162">
        <f>ROUND(IF(OR(ISERROR(FIND(Summary!$P$89,CONCATENATE(C162,D162,E162))),ISERROR(FIND(Summary!$Q$89,A162))),Summary!$R$45,IF(H162&gt;Summary!$V$3,Summary!$R$46,Summary!$R$45))*(B162+30),0)</f>
        <v>92</v>
      </c>
      <c r="H162">
        <f>IF(H161&gt;Summary!$V$4,0,H161+F161)</f>
        <v>60025</v>
      </c>
      <c r="I162" s="26">
        <f>DATE(YEAR(Summary!$V$2),MONTH(Summary!$V$2),DAY(Summary!$V$2)+INT(H162/480))</f>
        <v>43715</v>
      </c>
      <c r="J162" s="27">
        <f t="shared" si="3"/>
        <v>0.35069444444444442</v>
      </c>
    </row>
    <row r="163" spans="1:10">
      <c r="A163" t="str">
        <f>VLOOKUP(Summary!M162,Summary!$P$13:$Q$24,2)</f>
        <v>B1700-lime</v>
      </c>
      <c r="B163">
        <f>ROUND(NORMINV(Summary!M164,VLOOKUP(A163,Summary!$Q$13:$S$24,3,FALSE),VLOOKUP(A163,Summary!$Q$13:$S$24,3,FALSE)/6),-1)</f>
        <v>390</v>
      </c>
      <c r="C163" t="str">
        <f>IF(AND(H163=0,C162=Summary!$P$2),Summary!$Q$2,IF(AND(H163=0,C162=Summary!$Q$2),Summary!$R$2,C162))</f>
        <v>Neesha</v>
      </c>
      <c r="D163" t="str">
        <f>IF(C163=Summary!$P$26,VLOOKUP(Summary!M170,Summary!$Q$26:$R$27,2),IF('Run Data'!C163=Summary!$P$28,VLOOKUP(Summary!M170,Summary!$Q$28:$R$29,2),VLOOKUP(Summary!M170,Summary!$Q$30:$R$32,2)))</f>
        <v>Sprig 1</v>
      </c>
      <c r="E163" t="str">
        <f>VLOOKUP(Summary!M173,Summary!$P$42:$Q$43,2)</f>
        <v>86</v>
      </c>
      <c r="F163">
        <f>IF(LEFT(A163,3)="B60",20,IF(LEFT(A163,3)="B12",30,25))+B163*0.5+INT(Summary!M176*20)</f>
        <v>220</v>
      </c>
      <c r="G163">
        <f>ROUND(IF(OR(ISERROR(FIND(Summary!$P$89,CONCATENATE(C163,D163,E163))),ISERROR(FIND(Summary!$Q$89,A163))),Summary!$R$45,IF(H163&gt;Summary!$V$3,Summary!$R$46,Summary!$R$45))*(B163+30),0)</f>
        <v>50</v>
      </c>
      <c r="H163">
        <f>IF(H162&gt;Summary!$V$4,0,H162+F162)</f>
        <v>60427</v>
      </c>
      <c r="I163" s="26">
        <f>DATE(YEAR(Summary!$V$2),MONTH(Summary!$V$2),DAY(Summary!$V$2)+INT(H163/480))</f>
        <v>43715</v>
      </c>
      <c r="J163" s="27">
        <f t="shared" si="3"/>
        <v>0.62986111111111109</v>
      </c>
    </row>
    <row r="164" spans="1:10">
      <c r="A164" t="str">
        <f>VLOOKUP(Summary!M163,Summary!$P$13:$Q$24,2)</f>
        <v>B1200-fire</v>
      </c>
      <c r="B164">
        <f>ROUND(NORMINV(Summary!M165,VLOOKUP(A164,Summary!$Q$13:$S$24,3,FALSE),VLOOKUP(A164,Summary!$Q$13:$S$24,3,FALSE)/6),-1)</f>
        <v>1330</v>
      </c>
      <c r="C164" t="str">
        <f>IF(AND(H164=0,C163=Summary!$P$2),Summary!$Q$2,IF(AND(H164=0,C163=Summary!$Q$2),Summary!$R$2,C163))</f>
        <v>Neesha</v>
      </c>
      <c r="D164" t="str">
        <f>IF(C164=Summary!$P$26,VLOOKUP(Summary!M171,Summary!$Q$26:$R$27,2),IF('Run Data'!C164=Summary!$P$28,VLOOKUP(Summary!M171,Summary!$Q$28:$R$29,2),VLOOKUP(Summary!M171,Summary!$Q$30:$R$32,2)))</f>
        <v>Sprig 1</v>
      </c>
      <c r="E164" t="str">
        <f>VLOOKUP(Summary!M174,Summary!$P$42:$Q$43,2)</f>
        <v>87b</v>
      </c>
      <c r="F164">
        <f>IF(LEFT(A164,3)="B60",20,IF(LEFT(A164,3)="B12",30,25))+B164*0.5+INT(Summary!M177*20)</f>
        <v>713</v>
      </c>
      <c r="G164">
        <f>ROUND(IF(OR(ISERROR(FIND(Summary!$P$89,CONCATENATE(C164,D164,E164))),ISERROR(FIND(Summary!$Q$89,A164))),Summary!$R$45,IF(H164&gt;Summary!$V$3,Summary!$R$46,Summary!$R$45))*(B164+30),0)</f>
        <v>14</v>
      </c>
      <c r="H164">
        <f>IF(H163&gt;Summary!$V$4,0,H163+F163)</f>
        <v>60647</v>
      </c>
      <c r="I164" s="26">
        <f>DATE(YEAR(Summary!$V$2),MONTH(Summary!$V$2),DAY(Summary!$V$2)+INT(H164/480))</f>
        <v>43716</v>
      </c>
      <c r="J164" s="27">
        <f t="shared" si="3"/>
        <v>0.44930555555555557</v>
      </c>
    </row>
    <row r="165" spans="1:10">
      <c r="A165" t="str">
        <f>VLOOKUP(Summary!M164,Summary!$P$13:$Q$24,2)</f>
        <v>B1200-sky</v>
      </c>
      <c r="B165">
        <f>ROUND(NORMINV(Summary!M166,VLOOKUP(A165,Summary!$Q$13:$S$24,3,FALSE),VLOOKUP(A165,Summary!$Q$13:$S$24,3,FALSE)/6),-1)</f>
        <v>1420</v>
      </c>
      <c r="C165" t="str">
        <f>IF(AND(H165=0,C164=Summary!$P$2),Summary!$Q$2,IF(AND(H165=0,C164=Summary!$Q$2),Summary!$R$2,C164))</f>
        <v>Neesha</v>
      </c>
      <c r="D165" t="str">
        <f>IF(C165=Summary!$P$26,VLOOKUP(Summary!M172,Summary!$Q$26:$R$27,2),IF('Run Data'!C165=Summary!$P$28,VLOOKUP(Summary!M172,Summary!$Q$28:$R$29,2),VLOOKUP(Summary!M172,Summary!$Q$30:$R$32,2)))</f>
        <v>Sprig 1</v>
      </c>
      <c r="E165" t="str">
        <f>VLOOKUP(Summary!M175,Summary!$P$42:$Q$43,2)</f>
        <v>86</v>
      </c>
      <c r="F165">
        <f>IF(LEFT(A165,3)="B60",20,IF(LEFT(A165,3)="B12",30,25))+B165*0.5+INT(Summary!M178*20)</f>
        <v>752</v>
      </c>
      <c r="G165">
        <f>ROUND(IF(OR(ISERROR(FIND(Summary!$P$89,CONCATENATE(C165,D165,E165))),ISERROR(FIND(Summary!$Q$89,A165))),Summary!$R$45,IF(H165&gt;Summary!$V$3,Summary!$R$46,Summary!$R$45))*(B165+30),0)</f>
        <v>15</v>
      </c>
      <c r="H165">
        <f>IF(H164&gt;Summary!$V$4,0,H164+F164)</f>
        <v>61360</v>
      </c>
      <c r="I165" s="26">
        <f>DATE(YEAR(Summary!$V$2),MONTH(Summary!$V$2),DAY(Summary!$V$2)+INT(H165/480))</f>
        <v>43717</v>
      </c>
      <c r="J165" s="27">
        <f t="shared" si="3"/>
        <v>0.61111111111111105</v>
      </c>
    </row>
    <row r="166" spans="1:10">
      <c r="A166" t="str">
        <f>VLOOKUP(Summary!M165,Summary!$P$13:$Q$24,2)</f>
        <v>B1700-plum</v>
      </c>
      <c r="B166">
        <f>ROUND(NORMINV(Summary!M167,VLOOKUP(A166,Summary!$Q$13:$S$24,3,FALSE),VLOOKUP(A166,Summary!$Q$13:$S$24,3,FALSE)/6),-1)</f>
        <v>370</v>
      </c>
      <c r="C166" t="str">
        <f>IF(AND(H166=0,C165=Summary!$P$2),Summary!$Q$2,IF(AND(H166=0,C165=Summary!$Q$2),Summary!$R$2,C165))</f>
        <v>Neesha</v>
      </c>
      <c r="D166" t="str">
        <f>IF(C166=Summary!$P$26,VLOOKUP(Summary!M173,Summary!$Q$26:$R$27,2),IF('Run Data'!C166=Summary!$P$28,VLOOKUP(Summary!M173,Summary!$Q$28:$R$29,2),VLOOKUP(Summary!M173,Summary!$Q$30:$R$32,2)))</f>
        <v>Sprig 1</v>
      </c>
      <c r="E166" t="str">
        <f>VLOOKUP(Summary!M176,Summary!$P$42:$Q$43,2)</f>
        <v>86</v>
      </c>
      <c r="F166">
        <f>IF(LEFT(A166,3)="B60",20,IF(LEFT(A166,3)="B12",30,25))+B166*0.5+INT(Summary!M179*20)</f>
        <v>212</v>
      </c>
      <c r="G166">
        <f>ROUND(IF(OR(ISERROR(FIND(Summary!$P$89,CONCATENATE(C166,D166,E166))),ISERROR(FIND(Summary!$Q$89,A166))),Summary!$R$45,IF(H166&gt;Summary!$V$3,Summary!$R$46,Summary!$R$45))*(B166+30),0)</f>
        <v>48</v>
      </c>
      <c r="H166">
        <f>IF(H165&gt;Summary!$V$4,0,H165+F165)</f>
        <v>62112</v>
      </c>
      <c r="I166" s="26">
        <f>DATE(YEAR(Summary!$V$2),MONTH(Summary!$V$2),DAY(Summary!$V$2)+INT(H166/480))</f>
        <v>43719</v>
      </c>
      <c r="J166" s="27">
        <f t="shared" si="3"/>
        <v>0.46666666666666662</v>
      </c>
    </row>
    <row r="167" spans="1:10">
      <c r="A167" t="str">
        <f>VLOOKUP(Summary!M166,Summary!$P$13:$Q$24,2)</f>
        <v>B1700-fire</v>
      </c>
      <c r="B167">
        <f>ROUND(NORMINV(Summary!M168,VLOOKUP(A167,Summary!$Q$13:$S$24,3,FALSE),VLOOKUP(A167,Summary!$Q$13:$S$24,3,FALSE)/6),-1)</f>
        <v>590</v>
      </c>
      <c r="C167" t="str">
        <f>IF(AND(H167=0,C166=Summary!$P$2),Summary!$Q$2,IF(AND(H167=0,C166=Summary!$Q$2),Summary!$R$2,C166))</f>
        <v>Neesha</v>
      </c>
      <c r="D167" t="str">
        <f>IF(C167=Summary!$P$26,VLOOKUP(Summary!M174,Summary!$Q$26:$R$27,2),IF('Run Data'!C167=Summary!$P$28,VLOOKUP(Summary!M174,Summary!$Q$28:$R$29,2),VLOOKUP(Summary!M174,Summary!$Q$30:$R$32,2)))</f>
        <v>Sprig 4</v>
      </c>
      <c r="E167" t="str">
        <f>VLOOKUP(Summary!M177,Summary!$P$42:$Q$43,2)</f>
        <v>87b</v>
      </c>
      <c r="F167">
        <f>IF(LEFT(A167,3)="B60",20,IF(LEFT(A167,3)="B12",30,25))+B167*0.5+INT(Summary!M180*20)</f>
        <v>323</v>
      </c>
      <c r="G167">
        <f>ROUND(IF(OR(ISERROR(FIND(Summary!$P$89,CONCATENATE(C167,D167,E167))),ISERROR(FIND(Summary!$Q$89,A167))),Summary!$R$45,IF(H167&gt;Summary!$V$3,Summary!$R$46,Summary!$R$45))*(B167+30),0)</f>
        <v>6</v>
      </c>
      <c r="H167">
        <f>IF(H166&gt;Summary!$V$4,0,H166+F166)</f>
        <v>62324</v>
      </c>
      <c r="I167" s="26">
        <f>DATE(YEAR(Summary!$V$2),MONTH(Summary!$V$2),DAY(Summary!$V$2)+INT(H167/480))</f>
        <v>43719</v>
      </c>
      <c r="J167" s="27">
        <f t="shared" si="3"/>
        <v>0.61388888888888882</v>
      </c>
    </row>
    <row r="168" spans="1:10">
      <c r="A168" t="str">
        <f>VLOOKUP(Summary!M167,Summary!$P$13:$Q$24,2)</f>
        <v>B1700-lime</v>
      </c>
      <c r="B168">
        <f>ROUND(NORMINV(Summary!M169,VLOOKUP(A168,Summary!$Q$13:$S$24,3,FALSE),VLOOKUP(A168,Summary!$Q$13:$S$24,3,FALSE)/6),-1)</f>
        <v>400</v>
      </c>
      <c r="C168" t="str">
        <f>IF(AND(H168=0,C167=Summary!$P$2),Summary!$Q$2,IF(AND(H168=0,C167=Summary!$Q$2),Summary!$R$2,C167))</f>
        <v>Neesha</v>
      </c>
      <c r="D168" t="str">
        <f>IF(C168=Summary!$P$26,VLOOKUP(Summary!M175,Summary!$Q$26:$R$27,2),IF('Run Data'!C168=Summary!$P$28,VLOOKUP(Summary!M175,Summary!$Q$28:$R$29,2),VLOOKUP(Summary!M175,Summary!$Q$30:$R$32,2)))</f>
        <v>Sprig 1</v>
      </c>
      <c r="E168" t="str">
        <f>VLOOKUP(Summary!M178,Summary!$P$42:$Q$43,2)</f>
        <v>86</v>
      </c>
      <c r="F168">
        <f>IF(LEFT(A168,3)="B60",20,IF(LEFT(A168,3)="B12",30,25))+B168*0.5+INT(Summary!M181*20)</f>
        <v>232</v>
      </c>
      <c r="G168">
        <f>ROUND(IF(OR(ISERROR(FIND(Summary!$P$89,CONCATENATE(C168,D168,E168))),ISERROR(FIND(Summary!$Q$89,A168))),Summary!$R$45,IF(H168&gt;Summary!$V$3,Summary!$R$46,Summary!$R$45))*(B168+30),0)</f>
        <v>52</v>
      </c>
      <c r="H168">
        <f>IF(H167&gt;Summary!$V$4,0,H167+F167)</f>
        <v>62647</v>
      </c>
      <c r="I168" s="26">
        <f>DATE(YEAR(Summary!$V$2),MONTH(Summary!$V$2),DAY(Summary!$V$2)+INT(H168/480))</f>
        <v>43720</v>
      </c>
      <c r="J168" s="27">
        <f t="shared" si="3"/>
        <v>0.50486111111111109</v>
      </c>
    </row>
    <row r="169" spans="1:10">
      <c r="A169" t="str">
        <f>VLOOKUP(Summary!M168,Summary!$P$13:$Q$24,2)</f>
        <v>B600-sky</v>
      </c>
      <c r="B169">
        <f>ROUND(NORMINV(Summary!M170,VLOOKUP(A169,Summary!$Q$13:$S$24,3,FALSE),VLOOKUP(A169,Summary!$Q$13:$S$24,3,FALSE)/6),-1)</f>
        <v>450</v>
      </c>
      <c r="C169" t="str">
        <f>IF(AND(H169=0,C168=Summary!$P$2),Summary!$Q$2,IF(AND(H169=0,C168=Summary!$Q$2),Summary!$R$2,C168))</f>
        <v>Neesha</v>
      </c>
      <c r="D169" t="str">
        <f>IF(C169=Summary!$P$26,VLOOKUP(Summary!M176,Summary!$Q$26:$R$27,2),IF('Run Data'!C169=Summary!$P$28,VLOOKUP(Summary!M176,Summary!$Q$28:$R$29,2),VLOOKUP(Summary!M176,Summary!$Q$30:$R$32,2)))</f>
        <v>Sprig 1</v>
      </c>
      <c r="E169" t="str">
        <f>VLOOKUP(Summary!M179,Summary!$P$42:$Q$43,2)</f>
        <v>86</v>
      </c>
      <c r="F169">
        <f>IF(LEFT(A169,3)="B60",20,IF(LEFT(A169,3)="B12",30,25))+B169*0.5+INT(Summary!M182*20)</f>
        <v>259</v>
      </c>
      <c r="G169">
        <f>ROUND(IF(OR(ISERROR(FIND(Summary!$P$89,CONCATENATE(C169,D169,E169))),ISERROR(FIND(Summary!$Q$89,A169))),Summary!$R$45,IF(H169&gt;Summary!$V$3,Summary!$R$46,Summary!$R$45))*(B169+30),0)</f>
        <v>5</v>
      </c>
      <c r="H169">
        <f>IF(H168&gt;Summary!$V$4,0,H168+F168)</f>
        <v>62879</v>
      </c>
      <c r="I169" s="26">
        <f>DATE(YEAR(Summary!$V$2),MONTH(Summary!$V$2),DAY(Summary!$V$2)+INT(H169/480))</f>
        <v>43720</v>
      </c>
      <c r="J169" s="27">
        <f t="shared" si="3"/>
        <v>0.66597222222222219</v>
      </c>
    </row>
    <row r="170" spans="1:10">
      <c r="A170" t="str">
        <f>VLOOKUP(Summary!M169,Summary!$P$13:$Q$24,2)</f>
        <v>B1200-fire</v>
      </c>
      <c r="B170">
        <f>ROUND(NORMINV(Summary!M171,VLOOKUP(A170,Summary!$Q$13:$S$24,3,FALSE),VLOOKUP(A170,Summary!$Q$13:$S$24,3,FALSE)/6),-1)</f>
        <v>1010</v>
      </c>
      <c r="C170" t="str">
        <f>IF(AND(H170=0,C169=Summary!$P$2),Summary!$Q$2,IF(AND(H170=0,C169=Summary!$Q$2),Summary!$R$2,C169))</f>
        <v>Neesha</v>
      </c>
      <c r="D170" t="str">
        <f>IF(C170=Summary!$P$26,VLOOKUP(Summary!M177,Summary!$Q$26:$R$27,2),IF('Run Data'!C170=Summary!$P$28,VLOOKUP(Summary!M177,Summary!$Q$28:$R$29,2),VLOOKUP(Summary!M177,Summary!$Q$30:$R$32,2)))</f>
        <v>Sprig 4</v>
      </c>
      <c r="E170" t="str">
        <f>VLOOKUP(Summary!M180,Summary!$P$42:$Q$43,2)</f>
        <v>86</v>
      </c>
      <c r="F170">
        <f>IF(LEFT(A170,3)="B60",20,IF(LEFT(A170,3)="B12",30,25))+B170*0.5+INT(Summary!M183*20)</f>
        <v>546</v>
      </c>
      <c r="G170">
        <f>ROUND(IF(OR(ISERROR(FIND(Summary!$P$89,CONCATENATE(C170,D170,E170))),ISERROR(FIND(Summary!$Q$89,A170))),Summary!$R$45,IF(H170&gt;Summary!$V$3,Summary!$R$46,Summary!$R$45))*(B170+30),0)</f>
        <v>10</v>
      </c>
      <c r="H170">
        <f>IF(H169&gt;Summary!$V$4,0,H169+F169)</f>
        <v>63138</v>
      </c>
      <c r="I170" s="26">
        <f>DATE(YEAR(Summary!$V$2),MONTH(Summary!$V$2),DAY(Summary!$V$2)+INT(H170/480))</f>
        <v>43721</v>
      </c>
      <c r="J170" s="27">
        <f t="shared" si="3"/>
        <v>0.51250000000000007</v>
      </c>
    </row>
    <row r="171" spans="1:10">
      <c r="A171" t="str">
        <f>VLOOKUP(Summary!M170,Summary!$P$13:$Q$24,2)</f>
        <v>B1200-plum</v>
      </c>
      <c r="B171">
        <f>ROUND(NORMINV(Summary!M172,VLOOKUP(A171,Summary!$Q$13:$S$24,3,FALSE),VLOOKUP(A171,Summary!$Q$13:$S$24,3,FALSE)/6),-1)</f>
        <v>370</v>
      </c>
      <c r="C171" t="str">
        <f>IF(AND(H171=0,C170=Summary!$P$2),Summary!$Q$2,IF(AND(H171=0,C170=Summary!$Q$2),Summary!$R$2,C170))</f>
        <v>Neesha</v>
      </c>
      <c r="D171" t="str">
        <f>IF(C171=Summary!$P$26,VLOOKUP(Summary!M178,Summary!$Q$26:$R$27,2),IF('Run Data'!C171=Summary!$P$28,VLOOKUP(Summary!M178,Summary!$Q$28:$R$29,2),VLOOKUP(Summary!M178,Summary!$Q$30:$R$32,2)))</f>
        <v>Sprig 1</v>
      </c>
      <c r="E171" t="str">
        <f>VLOOKUP(Summary!M181,Summary!$P$42:$Q$43,2)</f>
        <v>86</v>
      </c>
      <c r="F171">
        <f>IF(LEFT(A171,3)="B60",20,IF(LEFT(A171,3)="B12",30,25))+B171*0.5+INT(Summary!M184*20)</f>
        <v>227</v>
      </c>
      <c r="G171">
        <f>ROUND(IF(OR(ISERROR(FIND(Summary!$P$89,CONCATENATE(C171,D171,E171))),ISERROR(FIND(Summary!$Q$89,A171))),Summary!$R$45,IF(H171&gt;Summary!$V$3,Summary!$R$46,Summary!$R$45))*(B171+30),0)</f>
        <v>4</v>
      </c>
      <c r="H171">
        <f>IF(H170&gt;Summary!$V$4,0,H170+F170)</f>
        <v>63684</v>
      </c>
      <c r="I171" s="26">
        <f>DATE(YEAR(Summary!$V$2),MONTH(Summary!$V$2),DAY(Summary!$V$2)+INT(H171/480))</f>
        <v>43722</v>
      </c>
      <c r="J171" s="27">
        <f t="shared" si="3"/>
        <v>0.55833333333333335</v>
      </c>
    </row>
    <row r="172" spans="1:10">
      <c r="A172" t="str">
        <f>VLOOKUP(Summary!M171,Summary!$P$13:$Q$24,2)</f>
        <v>B600-fire</v>
      </c>
      <c r="B172">
        <f>ROUND(NORMINV(Summary!M173,VLOOKUP(A172,Summary!$Q$13:$S$24,3,FALSE),VLOOKUP(A172,Summary!$Q$13:$S$24,3,FALSE)/6),-1)</f>
        <v>370</v>
      </c>
      <c r="C172" t="str">
        <f>IF(AND(H172=0,C171=Summary!$P$2),Summary!$Q$2,IF(AND(H172=0,C171=Summary!$Q$2),Summary!$R$2,C171))</f>
        <v>Neesha</v>
      </c>
      <c r="D172" t="str">
        <f>IF(C172=Summary!$P$26,VLOOKUP(Summary!M179,Summary!$Q$26:$R$27,2),IF('Run Data'!C172=Summary!$P$28,VLOOKUP(Summary!M179,Summary!$Q$28:$R$29,2),VLOOKUP(Summary!M179,Summary!$Q$30:$R$32,2)))</f>
        <v>Sprig 1</v>
      </c>
      <c r="E172" t="str">
        <f>VLOOKUP(Summary!M182,Summary!$P$42:$Q$43,2)</f>
        <v>86</v>
      </c>
      <c r="F172">
        <f>IF(LEFT(A172,3)="B60",20,IF(LEFT(A172,3)="B12",30,25))+B172*0.5+INT(Summary!M185*20)</f>
        <v>213</v>
      </c>
      <c r="G172">
        <f>ROUND(IF(OR(ISERROR(FIND(Summary!$P$89,CONCATENATE(C172,D172,E172))),ISERROR(FIND(Summary!$Q$89,A172))),Summary!$R$45,IF(H172&gt;Summary!$V$3,Summary!$R$46,Summary!$R$45))*(B172+30),0)</f>
        <v>4</v>
      </c>
      <c r="H172">
        <f>IF(H171&gt;Summary!$V$4,0,H171+F171)</f>
        <v>63911</v>
      </c>
      <c r="I172" s="26">
        <f>DATE(YEAR(Summary!$V$2),MONTH(Summary!$V$2),DAY(Summary!$V$2)+INT(H172/480))</f>
        <v>43723</v>
      </c>
      <c r="J172" s="27">
        <f t="shared" si="3"/>
        <v>0.38263888888888892</v>
      </c>
    </row>
    <row r="173" spans="1:10">
      <c r="A173" t="str">
        <f>VLOOKUP(Summary!M172,Summary!$P$13:$Q$24,2)</f>
        <v>B600-fire</v>
      </c>
      <c r="B173">
        <f>ROUND(NORMINV(Summary!M174,VLOOKUP(A173,Summary!$Q$13:$S$24,3,FALSE),VLOOKUP(A173,Summary!$Q$13:$S$24,3,FALSE)/6),-1)</f>
        <v>520</v>
      </c>
      <c r="C173" t="str">
        <f>IF(AND(H173=0,C172=Summary!$P$2),Summary!$Q$2,IF(AND(H173=0,C172=Summary!$Q$2),Summary!$R$2,C172))</f>
        <v>Neesha</v>
      </c>
      <c r="D173" t="str">
        <f>IF(C173=Summary!$P$26,VLOOKUP(Summary!M180,Summary!$Q$26:$R$27,2),IF('Run Data'!C173=Summary!$P$28,VLOOKUP(Summary!M180,Summary!$Q$28:$R$29,2),VLOOKUP(Summary!M180,Summary!$Q$30:$R$32,2)))</f>
        <v>Sprig 1</v>
      </c>
      <c r="E173" t="str">
        <f>VLOOKUP(Summary!M183,Summary!$P$42:$Q$43,2)</f>
        <v>86</v>
      </c>
      <c r="F173">
        <f>IF(LEFT(A173,3)="B60",20,IF(LEFT(A173,3)="B12",30,25))+B173*0.5+INT(Summary!M186*20)</f>
        <v>288</v>
      </c>
      <c r="G173">
        <f>ROUND(IF(OR(ISERROR(FIND(Summary!$P$89,CONCATENATE(C173,D173,E173))),ISERROR(FIND(Summary!$Q$89,A173))),Summary!$R$45,IF(H173&gt;Summary!$V$3,Summary!$R$46,Summary!$R$45))*(B173+30),0)</f>
        <v>6</v>
      </c>
      <c r="H173">
        <f>IF(H172&gt;Summary!$V$4,0,H172+F172)</f>
        <v>64124</v>
      </c>
      <c r="I173" s="26">
        <f>DATE(YEAR(Summary!$V$2),MONTH(Summary!$V$2),DAY(Summary!$V$2)+INT(H173/480))</f>
        <v>43723</v>
      </c>
      <c r="J173" s="27">
        <f t="shared" si="3"/>
        <v>0.53055555555555556</v>
      </c>
    </row>
    <row r="174" spans="1:10">
      <c r="A174" t="str">
        <f>VLOOKUP(Summary!M173,Summary!$P$13:$Q$24,2)</f>
        <v>B1200-plum</v>
      </c>
      <c r="B174">
        <f>ROUND(NORMINV(Summary!M175,VLOOKUP(A174,Summary!$Q$13:$S$24,3,FALSE),VLOOKUP(A174,Summary!$Q$13:$S$24,3,FALSE)/6),-1)</f>
        <v>420</v>
      </c>
      <c r="C174" t="str">
        <f>IF(AND(H174=0,C173=Summary!$P$2),Summary!$Q$2,IF(AND(H174=0,C173=Summary!$Q$2),Summary!$R$2,C173))</f>
        <v>Neesha</v>
      </c>
      <c r="D174" t="str">
        <f>IF(C174=Summary!$P$26,VLOOKUP(Summary!M181,Summary!$Q$26:$R$27,2),IF('Run Data'!C174=Summary!$P$28,VLOOKUP(Summary!M181,Summary!$Q$28:$R$29,2),VLOOKUP(Summary!M181,Summary!$Q$30:$R$32,2)))</f>
        <v>Sprig 1</v>
      </c>
      <c r="E174" t="str">
        <f>VLOOKUP(Summary!M184,Summary!$P$42:$Q$43,2)</f>
        <v>86</v>
      </c>
      <c r="F174">
        <f>IF(LEFT(A174,3)="B60",20,IF(LEFT(A174,3)="B12",30,25))+B174*0.5+INT(Summary!M187*20)</f>
        <v>257</v>
      </c>
      <c r="G174">
        <f>ROUND(IF(OR(ISERROR(FIND(Summary!$P$89,CONCATENATE(C174,D174,E174))),ISERROR(FIND(Summary!$Q$89,A174))),Summary!$R$45,IF(H174&gt;Summary!$V$3,Summary!$R$46,Summary!$R$45))*(B174+30),0)</f>
        <v>5</v>
      </c>
      <c r="H174">
        <f>IF(H173&gt;Summary!$V$4,0,H173+F173)</f>
        <v>64412</v>
      </c>
      <c r="I174" s="26">
        <f>DATE(YEAR(Summary!$V$2),MONTH(Summary!$V$2),DAY(Summary!$V$2)+INT(H174/480))</f>
        <v>43724</v>
      </c>
      <c r="J174" s="27">
        <f t="shared" si="3"/>
        <v>0.3972222222222222</v>
      </c>
    </row>
    <row r="175" spans="1:10">
      <c r="A175" t="str">
        <f>VLOOKUP(Summary!M174,Summary!$P$13:$Q$24,2)</f>
        <v>B1700-lime</v>
      </c>
      <c r="B175">
        <f>ROUND(NORMINV(Summary!M176,VLOOKUP(A175,Summary!$Q$13:$S$24,3,FALSE),VLOOKUP(A175,Summary!$Q$13:$S$24,3,FALSE)/6),-1)</f>
        <v>260</v>
      </c>
      <c r="C175" t="str">
        <f>IF(AND(H175=0,C174=Summary!$P$2),Summary!$Q$2,IF(AND(H175=0,C174=Summary!$Q$2),Summary!$R$2,C174))</f>
        <v>Neesha</v>
      </c>
      <c r="D175" t="str">
        <f>IF(C175=Summary!$P$26,VLOOKUP(Summary!M182,Summary!$Q$26:$R$27,2),IF('Run Data'!C175=Summary!$P$28,VLOOKUP(Summary!M182,Summary!$Q$28:$R$29,2),VLOOKUP(Summary!M182,Summary!$Q$30:$R$32,2)))</f>
        <v>Sprig 1</v>
      </c>
      <c r="E175" t="str">
        <f>VLOOKUP(Summary!M185,Summary!$P$42:$Q$43,2)</f>
        <v>86</v>
      </c>
      <c r="F175">
        <f>IF(LEFT(A175,3)="B60",20,IF(LEFT(A175,3)="B12",30,25))+B175*0.5+INT(Summary!M188*20)</f>
        <v>172</v>
      </c>
      <c r="G175">
        <f>ROUND(IF(OR(ISERROR(FIND(Summary!$P$89,CONCATENATE(C175,D175,E175))),ISERROR(FIND(Summary!$Q$89,A175))),Summary!$R$45,IF(H175&gt;Summary!$V$3,Summary!$R$46,Summary!$R$45))*(B175+30),0)</f>
        <v>35</v>
      </c>
      <c r="H175">
        <f>IF(H174&gt;Summary!$V$4,0,H174+F174)</f>
        <v>64669</v>
      </c>
      <c r="I175" s="26">
        <f>DATE(YEAR(Summary!$V$2),MONTH(Summary!$V$2),DAY(Summary!$V$2)+INT(H175/480))</f>
        <v>43724</v>
      </c>
      <c r="J175" s="27">
        <f t="shared" si="3"/>
        <v>0.5756944444444444</v>
      </c>
    </row>
    <row r="176" spans="1:10">
      <c r="A176" t="str">
        <f>VLOOKUP(Summary!M175,Summary!$P$13:$Q$24,2)</f>
        <v>B1200-sky</v>
      </c>
      <c r="B176">
        <f>ROUND(NORMINV(Summary!M177,VLOOKUP(A176,Summary!$Q$13:$S$24,3,FALSE),VLOOKUP(A176,Summary!$Q$13:$S$24,3,FALSE)/6),-1)</f>
        <v>1460</v>
      </c>
      <c r="C176" t="str">
        <f>IF(AND(H176=0,C175=Summary!$P$2),Summary!$Q$2,IF(AND(H176=0,C175=Summary!$Q$2),Summary!$R$2,C175))</f>
        <v>Neesha</v>
      </c>
      <c r="D176" t="str">
        <f>IF(C176=Summary!$P$26,VLOOKUP(Summary!M183,Summary!$Q$26:$R$27,2),IF('Run Data'!C176=Summary!$P$28,VLOOKUP(Summary!M183,Summary!$Q$28:$R$29,2),VLOOKUP(Summary!M183,Summary!$Q$30:$R$32,2)))</f>
        <v>Sprig 1</v>
      </c>
      <c r="E176" t="str">
        <f>VLOOKUP(Summary!M186,Summary!$P$42:$Q$43,2)</f>
        <v>86</v>
      </c>
      <c r="F176">
        <f>IF(LEFT(A176,3)="B60",20,IF(LEFT(A176,3)="B12",30,25))+B176*0.5+INT(Summary!M189*20)</f>
        <v>778</v>
      </c>
      <c r="G176">
        <f>ROUND(IF(OR(ISERROR(FIND(Summary!$P$89,CONCATENATE(C176,D176,E176))),ISERROR(FIND(Summary!$Q$89,A176))),Summary!$R$45,IF(H176&gt;Summary!$V$3,Summary!$R$46,Summary!$R$45))*(B176+30),0)</f>
        <v>15</v>
      </c>
      <c r="H176">
        <f>IF(H175&gt;Summary!$V$4,0,H175+F175)</f>
        <v>64841</v>
      </c>
      <c r="I176" s="26">
        <f>DATE(YEAR(Summary!$V$2),MONTH(Summary!$V$2),DAY(Summary!$V$2)+INT(H176/480))</f>
        <v>43725</v>
      </c>
      <c r="J176" s="27">
        <f t="shared" si="3"/>
        <v>0.36180555555555555</v>
      </c>
    </row>
    <row r="177" spans="1:10">
      <c r="A177" t="str">
        <f>VLOOKUP(Summary!M176,Summary!$P$13:$Q$24,2)</f>
        <v>B600-plum</v>
      </c>
      <c r="B177">
        <f>ROUND(NORMINV(Summary!M178,VLOOKUP(A177,Summary!$Q$13:$S$24,3,FALSE),VLOOKUP(A177,Summary!$Q$13:$S$24,3,FALSE)/6),-1)</f>
        <v>210</v>
      </c>
      <c r="C177" t="str">
        <f>IF(AND(H177=0,C176=Summary!$P$2),Summary!$Q$2,IF(AND(H177=0,C176=Summary!$Q$2),Summary!$R$2,C176))</f>
        <v>Neesha</v>
      </c>
      <c r="D177" t="str">
        <f>IF(C177=Summary!$P$26,VLOOKUP(Summary!M184,Summary!$Q$26:$R$27,2),IF('Run Data'!C177=Summary!$P$28,VLOOKUP(Summary!M184,Summary!$Q$28:$R$29,2),VLOOKUP(Summary!M184,Summary!$Q$30:$R$32,2)))</f>
        <v>Sprig 1</v>
      </c>
      <c r="E177" t="str">
        <f>VLOOKUP(Summary!M187,Summary!$P$42:$Q$43,2)</f>
        <v>87b</v>
      </c>
      <c r="F177">
        <f>IF(LEFT(A177,3)="B60",20,IF(LEFT(A177,3)="B12",30,25))+B177*0.5+INT(Summary!M190*20)</f>
        <v>144</v>
      </c>
      <c r="G177">
        <f>ROUND(IF(OR(ISERROR(FIND(Summary!$P$89,CONCATENATE(C177,D177,E177))),ISERROR(FIND(Summary!$Q$89,A177))),Summary!$R$45,IF(H177&gt;Summary!$V$3,Summary!$R$46,Summary!$R$45))*(B177+30),0)</f>
        <v>2</v>
      </c>
      <c r="H177">
        <f>IF(H176&gt;Summary!$V$4,0,H176+F176)</f>
        <v>65619</v>
      </c>
      <c r="I177" s="26">
        <f>DATE(YEAR(Summary!$V$2),MONTH(Summary!$V$2),DAY(Summary!$V$2)+INT(H177/480))</f>
        <v>43726</v>
      </c>
      <c r="J177" s="27">
        <f t="shared" si="3"/>
        <v>0.56874999999999998</v>
      </c>
    </row>
    <row r="178" spans="1:10">
      <c r="A178" t="str">
        <f>VLOOKUP(Summary!M177,Summary!$P$13:$Q$24,2)</f>
        <v>B1700-fire</v>
      </c>
      <c r="B178">
        <f>ROUND(NORMINV(Summary!M179,VLOOKUP(A178,Summary!$Q$13:$S$24,3,FALSE),VLOOKUP(A178,Summary!$Q$13:$S$24,3,FALSE)/6),-1)</f>
        <v>620</v>
      </c>
      <c r="C178" t="str">
        <f>IF(AND(H178=0,C177=Summary!$P$2),Summary!$Q$2,IF(AND(H178=0,C177=Summary!$Q$2),Summary!$R$2,C177))</f>
        <v>Neesha</v>
      </c>
      <c r="D178" t="str">
        <f>IF(C178=Summary!$P$26,VLOOKUP(Summary!M185,Summary!$Q$26:$R$27,2),IF('Run Data'!C178=Summary!$P$28,VLOOKUP(Summary!M185,Summary!$Q$28:$R$29,2),VLOOKUP(Summary!M185,Summary!$Q$30:$R$32,2)))</f>
        <v>Sprig 1</v>
      </c>
      <c r="E178" t="str">
        <f>VLOOKUP(Summary!M188,Summary!$P$42:$Q$43,2)</f>
        <v>87b</v>
      </c>
      <c r="F178">
        <f>IF(LEFT(A178,3)="B60",20,IF(LEFT(A178,3)="B12",30,25))+B178*0.5+INT(Summary!M191*20)</f>
        <v>353</v>
      </c>
      <c r="G178">
        <f>ROUND(IF(OR(ISERROR(FIND(Summary!$P$89,CONCATENATE(C178,D178,E178))),ISERROR(FIND(Summary!$Q$89,A178))),Summary!$R$45,IF(H178&gt;Summary!$V$3,Summary!$R$46,Summary!$R$45))*(B178+30),0)</f>
        <v>7</v>
      </c>
      <c r="H178">
        <f>IF(H177&gt;Summary!$V$4,0,H177+F177)</f>
        <v>65763</v>
      </c>
      <c r="I178" s="26">
        <f>DATE(YEAR(Summary!$V$2),MONTH(Summary!$V$2),DAY(Summary!$V$2)+INT(H178/480))</f>
        <v>43727</v>
      </c>
      <c r="J178" s="27">
        <f t="shared" si="3"/>
        <v>0.3354166666666667</v>
      </c>
    </row>
    <row r="179" spans="1:10">
      <c r="A179" t="str">
        <f>VLOOKUP(Summary!M178,Summary!$P$13:$Q$24,2)</f>
        <v>B1200-lime</v>
      </c>
      <c r="B179">
        <f>ROUND(NORMINV(Summary!M180,VLOOKUP(A179,Summary!$Q$13:$S$24,3,FALSE),VLOOKUP(A179,Summary!$Q$13:$S$24,3,FALSE)/6),-1)</f>
        <v>680</v>
      </c>
      <c r="C179" t="str">
        <f>IF(AND(H179=0,C178=Summary!$P$2),Summary!$Q$2,IF(AND(H179=0,C178=Summary!$Q$2),Summary!$R$2,C178))</f>
        <v>Neesha</v>
      </c>
      <c r="D179" t="str">
        <f>IF(C179=Summary!$P$26,VLOOKUP(Summary!M186,Summary!$Q$26:$R$27,2),IF('Run Data'!C179=Summary!$P$28,VLOOKUP(Summary!M186,Summary!$Q$28:$R$29,2),VLOOKUP(Summary!M186,Summary!$Q$30:$R$32,2)))</f>
        <v>Sprig 1</v>
      </c>
      <c r="E179" t="str">
        <f>VLOOKUP(Summary!M189,Summary!$P$42:$Q$43,2)</f>
        <v>87b</v>
      </c>
      <c r="F179">
        <f>IF(LEFT(A179,3)="B60",20,IF(LEFT(A179,3)="B12",30,25))+B179*0.5+INT(Summary!M192*20)</f>
        <v>384</v>
      </c>
      <c r="G179">
        <f>ROUND(IF(OR(ISERROR(FIND(Summary!$P$89,CONCATENATE(C179,D179,E179))),ISERROR(FIND(Summary!$Q$89,A179))),Summary!$R$45,IF(H179&gt;Summary!$V$3,Summary!$R$46,Summary!$R$45))*(B179+30),0)</f>
        <v>7</v>
      </c>
      <c r="H179">
        <f>IF(H178&gt;Summary!$V$4,0,H178+F178)</f>
        <v>66116</v>
      </c>
      <c r="I179" s="26">
        <f>DATE(YEAR(Summary!$V$2),MONTH(Summary!$V$2),DAY(Summary!$V$2)+INT(H179/480))</f>
        <v>43727</v>
      </c>
      <c r="J179" s="27">
        <f t="shared" si="3"/>
        <v>0.5805555555555556</v>
      </c>
    </row>
    <row r="180" spans="1:10">
      <c r="A180" t="str">
        <f>VLOOKUP(Summary!M179,Summary!$P$13:$Q$24,2)</f>
        <v>B600-fire</v>
      </c>
      <c r="B180">
        <f>ROUND(NORMINV(Summary!M181,VLOOKUP(A180,Summary!$Q$13:$S$24,3,FALSE),VLOOKUP(A180,Summary!$Q$13:$S$24,3,FALSE)/6),-1)</f>
        <v>380</v>
      </c>
      <c r="C180" t="str">
        <f>IF(AND(H180=0,C179=Summary!$P$2),Summary!$Q$2,IF(AND(H180=0,C179=Summary!$Q$2),Summary!$R$2,C179))</f>
        <v>Neesha</v>
      </c>
      <c r="D180" t="str">
        <f>IF(C180=Summary!$P$26,VLOOKUP(Summary!M187,Summary!$Q$26:$R$27,2),IF('Run Data'!C180=Summary!$P$28,VLOOKUP(Summary!M187,Summary!$Q$28:$R$29,2),VLOOKUP(Summary!M187,Summary!$Q$30:$R$32,2)))</f>
        <v>Sprig 4</v>
      </c>
      <c r="E180" t="str">
        <f>VLOOKUP(Summary!M190,Summary!$P$42:$Q$43,2)</f>
        <v>87b</v>
      </c>
      <c r="F180">
        <f>IF(LEFT(A180,3)="B60",20,IF(LEFT(A180,3)="B12",30,25))+B180*0.5+INT(Summary!M193*20)</f>
        <v>219</v>
      </c>
      <c r="G180">
        <f>ROUND(IF(OR(ISERROR(FIND(Summary!$P$89,CONCATENATE(C180,D180,E180))),ISERROR(FIND(Summary!$Q$89,A180))),Summary!$R$45,IF(H180&gt;Summary!$V$3,Summary!$R$46,Summary!$R$45))*(B180+30),0)</f>
        <v>4</v>
      </c>
      <c r="H180">
        <f>IF(H179&gt;Summary!$V$4,0,H179+F179)</f>
        <v>66500</v>
      </c>
      <c r="I180" s="26">
        <f>DATE(YEAR(Summary!$V$2),MONTH(Summary!$V$2),DAY(Summary!$V$2)+INT(H180/480))</f>
        <v>43728</v>
      </c>
      <c r="J180" s="27">
        <f t="shared" si="3"/>
        <v>0.51388888888888895</v>
      </c>
    </row>
    <row r="181" spans="1:10">
      <c r="A181" t="str">
        <f>VLOOKUP(Summary!M180,Summary!$P$13:$Q$24,2)</f>
        <v>B600-lime</v>
      </c>
      <c r="B181">
        <f>ROUND(NORMINV(Summary!M182,VLOOKUP(A181,Summary!$Q$13:$S$24,3,FALSE),VLOOKUP(A181,Summary!$Q$13:$S$24,3,FALSE)/6),-1)</f>
        <v>330</v>
      </c>
      <c r="C181" t="str">
        <f>IF(AND(H181=0,C180=Summary!$P$2),Summary!$Q$2,IF(AND(H181=0,C180=Summary!$Q$2),Summary!$R$2,C180))</f>
        <v>Neesha</v>
      </c>
      <c r="D181" t="str">
        <f>IF(C181=Summary!$P$26,VLOOKUP(Summary!M188,Summary!$Q$26:$R$27,2),IF('Run Data'!C181=Summary!$P$28,VLOOKUP(Summary!M188,Summary!$Q$28:$R$29,2),VLOOKUP(Summary!M188,Summary!$Q$30:$R$32,2)))</f>
        <v>Sprig 4</v>
      </c>
      <c r="E181" t="str">
        <f>VLOOKUP(Summary!M191,Summary!$P$42:$Q$43,2)</f>
        <v>87b</v>
      </c>
      <c r="F181">
        <f>IF(LEFT(A181,3)="B60",20,IF(LEFT(A181,3)="B12",30,25))+B181*0.5+INT(Summary!M194*20)</f>
        <v>199</v>
      </c>
      <c r="G181">
        <f>ROUND(IF(OR(ISERROR(FIND(Summary!$P$89,CONCATENATE(C181,D181,E181))),ISERROR(FIND(Summary!$Q$89,A181))),Summary!$R$45,IF(H181&gt;Summary!$V$3,Summary!$R$46,Summary!$R$45))*(B181+30),0)</f>
        <v>4</v>
      </c>
      <c r="H181">
        <f>IF(H180&gt;Summary!$V$4,0,H180+F180)</f>
        <v>66719</v>
      </c>
      <c r="I181" s="26">
        <f>DATE(YEAR(Summary!$V$2),MONTH(Summary!$V$2),DAY(Summary!$V$2)+INT(H181/480))</f>
        <v>43728</v>
      </c>
      <c r="J181" s="27">
        <f t="shared" si="3"/>
        <v>0.66597222222222219</v>
      </c>
    </row>
    <row r="182" spans="1:10">
      <c r="A182" t="str">
        <f>VLOOKUP(Summary!M181,Summary!$P$13:$Q$24,2)</f>
        <v>B1200-sky</v>
      </c>
      <c r="B182">
        <f>ROUND(NORMINV(Summary!M183,VLOOKUP(A182,Summary!$Q$13:$S$24,3,FALSE),VLOOKUP(A182,Summary!$Q$13:$S$24,3,FALSE)/6),-1)</f>
        <v>1230</v>
      </c>
      <c r="C182" t="str">
        <f>IF(AND(H182=0,C181=Summary!$P$2),Summary!$Q$2,IF(AND(H182=0,C181=Summary!$Q$2),Summary!$R$2,C181))</f>
        <v>Neesha</v>
      </c>
      <c r="D182" t="str">
        <f>IF(C182=Summary!$P$26,VLOOKUP(Summary!M189,Summary!$Q$26:$R$27,2),IF('Run Data'!C182=Summary!$P$28,VLOOKUP(Summary!M189,Summary!$Q$28:$R$29,2),VLOOKUP(Summary!M189,Summary!$Q$30:$R$32,2)))</f>
        <v>Sprig 4</v>
      </c>
      <c r="E182" t="str">
        <f>VLOOKUP(Summary!M192,Summary!$P$42:$Q$43,2)</f>
        <v>86</v>
      </c>
      <c r="F182">
        <f>IF(LEFT(A182,3)="B60",20,IF(LEFT(A182,3)="B12",30,25))+B182*0.5+INT(Summary!M195*20)</f>
        <v>647</v>
      </c>
      <c r="G182">
        <f>ROUND(IF(OR(ISERROR(FIND(Summary!$P$89,CONCATENATE(C182,D182,E182))),ISERROR(FIND(Summary!$Q$89,A182))),Summary!$R$45,IF(H182&gt;Summary!$V$3,Summary!$R$46,Summary!$R$45))*(B182+30),0)</f>
        <v>13</v>
      </c>
      <c r="H182">
        <f>IF(H181&gt;Summary!$V$4,0,H181+F181)</f>
        <v>66918</v>
      </c>
      <c r="I182" s="26">
        <f>DATE(YEAR(Summary!$V$2),MONTH(Summary!$V$2),DAY(Summary!$V$2)+INT(H182/480))</f>
        <v>43729</v>
      </c>
      <c r="J182" s="27">
        <f t="shared" si="3"/>
        <v>0.47083333333333338</v>
      </c>
    </row>
    <row r="183" spans="1:10">
      <c r="A183" t="str">
        <f>VLOOKUP(Summary!M182,Summary!$P$13:$Q$24,2)</f>
        <v>B1700-plum</v>
      </c>
      <c r="B183">
        <f>ROUND(NORMINV(Summary!M184,VLOOKUP(A183,Summary!$Q$13:$S$24,3,FALSE),VLOOKUP(A183,Summary!$Q$13:$S$24,3,FALSE)/6),-1)</f>
        <v>310</v>
      </c>
      <c r="C183" t="str">
        <f>IF(AND(H183=0,C182=Summary!$P$2),Summary!$Q$2,IF(AND(H183=0,C182=Summary!$Q$2),Summary!$R$2,C182))</f>
        <v>Neesha</v>
      </c>
      <c r="D183" t="str">
        <f>IF(C183=Summary!$P$26,VLOOKUP(Summary!M190,Summary!$Q$26:$R$27,2),IF('Run Data'!C183=Summary!$P$28,VLOOKUP(Summary!M190,Summary!$Q$28:$R$29,2),VLOOKUP(Summary!M190,Summary!$Q$30:$R$32,2)))</f>
        <v>Sprig 4</v>
      </c>
      <c r="E183" t="str">
        <f>VLOOKUP(Summary!M193,Summary!$P$42:$Q$43,2)</f>
        <v>86</v>
      </c>
      <c r="F183">
        <f>IF(LEFT(A183,3)="B60",20,IF(LEFT(A183,3)="B12",30,25))+B183*0.5+INT(Summary!M196*20)</f>
        <v>197</v>
      </c>
      <c r="G183">
        <f>ROUND(IF(OR(ISERROR(FIND(Summary!$P$89,CONCATENATE(C183,D183,E183))),ISERROR(FIND(Summary!$Q$89,A183))),Summary!$R$45,IF(H183&gt;Summary!$V$3,Summary!$R$46,Summary!$R$45))*(B183+30),0)</f>
        <v>41</v>
      </c>
      <c r="H183">
        <f>IF(H182&gt;Summary!$V$4,0,H182+F182)</f>
        <v>67565</v>
      </c>
      <c r="I183" s="26">
        <f>DATE(YEAR(Summary!$V$2),MONTH(Summary!$V$2),DAY(Summary!$V$2)+INT(H183/480))</f>
        <v>43730</v>
      </c>
      <c r="J183" s="27">
        <f t="shared" si="3"/>
        <v>0.58680555555555558</v>
      </c>
    </row>
    <row r="184" spans="1:10">
      <c r="A184" t="str">
        <f>VLOOKUP(Summary!M183,Summary!$P$13:$Q$24,2)</f>
        <v>B1200-lime</v>
      </c>
      <c r="B184">
        <f>ROUND(NORMINV(Summary!M185,VLOOKUP(A184,Summary!$Q$13:$S$24,3,FALSE),VLOOKUP(A184,Summary!$Q$13:$S$24,3,FALSE)/6),-1)</f>
        <v>770</v>
      </c>
      <c r="C184" t="str">
        <f>IF(AND(H184=0,C183=Summary!$P$2),Summary!$Q$2,IF(AND(H184=0,C183=Summary!$Q$2),Summary!$R$2,C183))</f>
        <v>Neesha</v>
      </c>
      <c r="D184" t="str">
        <f>IF(C184=Summary!$P$26,VLOOKUP(Summary!M191,Summary!$Q$26:$R$27,2),IF('Run Data'!C184=Summary!$P$28,VLOOKUP(Summary!M191,Summary!$Q$28:$R$29,2),VLOOKUP(Summary!M191,Summary!$Q$30:$R$32,2)))</f>
        <v>Sprig 4</v>
      </c>
      <c r="E184" t="str">
        <f>VLOOKUP(Summary!M194,Summary!$P$42:$Q$43,2)</f>
        <v>86</v>
      </c>
      <c r="F184">
        <f>IF(LEFT(A184,3)="B60",20,IF(LEFT(A184,3)="B12",30,25))+B184*0.5+INT(Summary!M197*20)</f>
        <v>424</v>
      </c>
      <c r="G184">
        <f>ROUND(IF(OR(ISERROR(FIND(Summary!$P$89,CONCATENATE(C184,D184,E184))),ISERROR(FIND(Summary!$Q$89,A184))),Summary!$R$45,IF(H184&gt;Summary!$V$3,Summary!$R$46,Summary!$R$45))*(B184+30),0)</f>
        <v>8</v>
      </c>
      <c r="H184">
        <f>IF(H183&gt;Summary!$V$4,0,H183+F183)</f>
        <v>67762</v>
      </c>
      <c r="I184" s="26">
        <f>DATE(YEAR(Summary!$V$2),MONTH(Summary!$V$2),DAY(Summary!$V$2)+INT(H184/480))</f>
        <v>43731</v>
      </c>
      <c r="J184" s="27">
        <f t="shared" si="3"/>
        <v>0.39027777777777778</v>
      </c>
    </row>
    <row r="185" spans="1:10">
      <c r="A185" t="str">
        <f>VLOOKUP(Summary!M184,Summary!$P$13:$Q$24,2)</f>
        <v>B1200-lime</v>
      </c>
      <c r="B185">
        <f>ROUND(NORMINV(Summary!M186,VLOOKUP(A185,Summary!$Q$13:$S$24,3,FALSE),VLOOKUP(A185,Summary!$Q$13:$S$24,3,FALSE)/6),-1)</f>
        <v>770</v>
      </c>
      <c r="C185" t="str">
        <f>IF(AND(H185=0,C184=Summary!$P$2),Summary!$Q$2,IF(AND(H185=0,C184=Summary!$Q$2),Summary!$R$2,C184))</f>
        <v>Neesha</v>
      </c>
      <c r="D185" t="str">
        <f>IF(C185=Summary!$P$26,VLOOKUP(Summary!M192,Summary!$Q$26:$R$27,2),IF('Run Data'!C185=Summary!$P$28,VLOOKUP(Summary!M192,Summary!$Q$28:$R$29,2),VLOOKUP(Summary!M192,Summary!$Q$30:$R$32,2)))</f>
        <v>Sprig 1</v>
      </c>
      <c r="E185" t="str">
        <f>VLOOKUP(Summary!M195,Summary!$P$42:$Q$43,2)</f>
        <v>86</v>
      </c>
      <c r="F185">
        <f>IF(LEFT(A185,3)="B60",20,IF(LEFT(A185,3)="B12",30,25))+B185*0.5+INT(Summary!M198*20)</f>
        <v>426</v>
      </c>
      <c r="G185">
        <f>ROUND(IF(OR(ISERROR(FIND(Summary!$P$89,CONCATENATE(C185,D185,E185))),ISERROR(FIND(Summary!$Q$89,A185))),Summary!$R$45,IF(H185&gt;Summary!$V$3,Summary!$R$46,Summary!$R$45))*(B185+30),0)</f>
        <v>8</v>
      </c>
      <c r="H185">
        <f>IF(H184&gt;Summary!$V$4,0,H184+F184)</f>
        <v>68186</v>
      </c>
      <c r="I185" s="26">
        <f>DATE(YEAR(Summary!$V$2),MONTH(Summary!$V$2),DAY(Summary!$V$2)+INT(H185/480))</f>
        <v>43732</v>
      </c>
      <c r="J185" s="27">
        <f t="shared" si="3"/>
        <v>0.35138888888888892</v>
      </c>
    </row>
    <row r="186" spans="1:10">
      <c r="A186" t="str">
        <f>VLOOKUP(Summary!M185,Summary!$P$13:$Q$24,2)</f>
        <v>B1200-sky</v>
      </c>
      <c r="B186">
        <f>ROUND(NORMINV(Summary!M187,VLOOKUP(A186,Summary!$Q$13:$S$24,3,FALSE),VLOOKUP(A186,Summary!$Q$13:$S$24,3,FALSE)/6),-1)</f>
        <v>1410</v>
      </c>
      <c r="C186" t="str">
        <f>IF(AND(H186=0,C185=Summary!$P$2),Summary!$Q$2,IF(AND(H186=0,C185=Summary!$Q$2),Summary!$R$2,C185))</f>
        <v>Neesha</v>
      </c>
      <c r="D186" t="str">
        <f>IF(C186=Summary!$P$26,VLOOKUP(Summary!M193,Summary!$Q$26:$R$27,2),IF('Run Data'!C186=Summary!$P$28,VLOOKUP(Summary!M193,Summary!$Q$28:$R$29,2),VLOOKUP(Summary!M193,Summary!$Q$30:$R$32,2)))</f>
        <v>Sprig 1</v>
      </c>
      <c r="E186" t="str">
        <f>VLOOKUP(Summary!M196,Summary!$P$42:$Q$43,2)</f>
        <v>87b</v>
      </c>
      <c r="F186">
        <f>IF(LEFT(A186,3)="B60",20,IF(LEFT(A186,3)="B12",30,25))+B186*0.5+INT(Summary!M199*20)</f>
        <v>750</v>
      </c>
      <c r="G186">
        <f>ROUND(IF(OR(ISERROR(FIND(Summary!$P$89,CONCATENATE(C186,D186,E186))),ISERROR(FIND(Summary!$Q$89,A186))),Summary!$R$45,IF(H186&gt;Summary!$V$3,Summary!$R$46,Summary!$R$45))*(B186+30),0)</f>
        <v>14</v>
      </c>
      <c r="H186">
        <f>IF(H185&gt;Summary!$V$4,0,H185+F185)</f>
        <v>68612</v>
      </c>
      <c r="I186" s="26">
        <f>DATE(YEAR(Summary!$V$2),MONTH(Summary!$V$2),DAY(Summary!$V$2)+INT(H186/480))</f>
        <v>43732</v>
      </c>
      <c r="J186" s="27">
        <f t="shared" si="3"/>
        <v>0.64722222222222225</v>
      </c>
    </row>
    <row r="187" spans="1:10">
      <c r="A187" t="str">
        <f>VLOOKUP(Summary!M186,Summary!$P$13:$Q$24,2)</f>
        <v>B1200-sky</v>
      </c>
      <c r="B187">
        <f>ROUND(NORMINV(Summary!M188,VLOOKUP(A187,Summary!$Q$13:$S$24,3,FALSE),VLOOKUP(A187,Summary!$Q$13:$S$24,3,FALSE)/6),-1)</f>
        <v>1440</v>
      </c>
      <c r="C187" t="str">
        <f>IF(AND(H187=0,C186=Summary!$P$2),Summary!$Q$2,IF(AND(H187=0,C186=Summary!$Q$2),Summary!$R$2,C186))</f>
        <v>Neesha</v>
      </c>
      <c r="D187" t="str">
        <f>IF(C187=Summary!$P$26,VLOOKUP(Summary!M194,Summary!$Q$26:$R$27,2),IF('Run Data'!C187=Summary!$P$28,VLOOKUP(Summary!M194,Summary!$Q$28:$R$29,2),VLOOKUP(Summary!M194,Summary!$Q$30:$R$32,2)))</f>
        <v>Sprig 1</v>
      </c>
      <c r="E187" t="str">
        <f>VLOOKUP(Summary!M197,Summary!$P$42:$Q$43,2)</f>
        <v>86</v>
      </c>
      <c r="F187">
        <f>IF(LEFT(A187,3)="B60",20,IF(LEFT(A187,3)="B12",30,25))+B187*0.5+INT(Summary!M200*20)</f>
        <v>751</v>
      </c>
      <c r="G187">
        <f>ROUND(IF(OR(ISERROR(FIND(Summary!$P$89,CONCATENATE(C187,D187,E187))),ISERROR(FIND(Summary!$Q$89,A187))),Summary!$R$45,IF(H187&gt;Summary!$V$3,Summary!$R$46,Summary!$R$45))*(B187+30),0)</f>
        <v>15</v>
      </c>
      <c r="H187">
        <f>IF(H186&gt;Summary!$V$4,0,H186+F186)</f>
        <v>69362</v>
      </c>
      <c r="I187" s="26">
        <f>DATE(YEAR(Summary!$V$2),MONTH(Summary!$V$2),DAY(Summary!$V$2)+INT(H187/480))</f>
        <v>43734</v>
      </c>
      <c r="J187" s="27">
        <f t="shared" si="3"/>
        <v>0.50138888888888888</v>
      </c>
    </row>
    <row r="188" spans="1:10">
      <c r="A188" t="str">
        <f>VLOOKUP(Summary!M187,Summary!$P$13:$Q$24,2)</f>
        <v>B1700-fire</v>
      </c>
      <c r="B188">
        <f>ROUND(NORMINV(Summary!M189,VLOOKUP(A188,Summary!$Q$13:$S$24,3,FALSE),VLOOKUP(A188,Summary!$Q$13:$S$24,3,FALSE)/6),-1)</f>
        <v>920</v>
      </c>
      <c r="C188" t="str">
        <f>IF(AND(H188=0,C187=Summary!$P$2),Summary!$Q$2,IF(AND(H188=0,C187=Summary!$Q$2),Summary!$R$2,C187))</f>
        <v>Neesha</v>
      </c>
      <c r="D188" t="str">
        <f>IF(C188=Summary!$P$26,VLOOKUP(Summary!M195,Summary!$Q$26:$R$27,2),IF('Run Data'!C188=Summary!$P$28,VLOOKUP(Summary!M195,Summary!$Q$28:$R$29,2),VLOOKUP(Summary!M195,Summary!$Q$30:$R$32,2)))</f>
        <v>Sprig 1</v>
      </c>
      <c r="E188" t="str">
        <f>VLOOKUP(Summary!M198,Summary!$P$42:$Q$43,2)</f>
        <v>86</v>
      </c>
      <c r="F188">
        <f>IF(LEFT(A188,3)="B60",20,IF(LEFT(A188,3)="B12",30,25))+B188*0.5+INT(Summary!M201*20)</f>
        <v>500</v>
      </c>
      <c r="G188">
        <f>ROUND(IF(OR(ISERROR(FIND(Summary!$P$89,CONCATENATE(C188,D188,E188))),ISERROR(FIND(Summary!$Q$89,A188))),Summary!$R$45,IF(H188&gt;Summary!$V$3,Summary!$R$46,Summary!$R$45))*(B188+30),0)</f>
        <v>114</v>
      </c>
      <c r="H188">
        <f>IF(H187&gt;Summary!$V$4,0,H187+F187)</f>
        <v>70113</v>
      </c>
      <c r="I188" s="26">
        <f>DATE(YEAR(Summary!$V$2),MONTH(Summary!$V$2),DAY(Summary!$V$2)+INT(H188/480))</f>
        <v>43736</v>
      </c>
      <c r="J188" s="27">
        <f t="shared" si="3"/>
        <v>0.35625000000000001</v>
      </c>
    </row>
    <row r="189" spans="1:10">
      <c r="A189" t="str">
        <f>VLOOKUP(Summary!M188,Summary!$P$13:$Q$24,2)</f>
        <v>B1700-fire</v>
      </c>
      <c r="B189">
        <f>ROUND(NORMINV(Summary!M190,VLOOKUP(A189,Summary!$Q$13:$S$24,3,FALSE),VLOOKUP(A189,Summary!$Q$13:$S$24,3,FALSE)/6),-1)</f>
        <v>980</v>
      </c>
      <c r="C189" t="str">
        <f>IF(AND(H189=0,C188=Summary!$P$2),Summary!$Q$2,IF(AND(H189=0,C188=Summary!$Q$2),Summary!$R$2,C188))</f>
        <v>Neesha</v>
      </c>
      <c r="D189" t="str">
        <f>IF(C189=Summary!$P$26,VLOOKUP(Summary!M196,Summary!$Q$26:$R$27,2),IF('Run Data'!C189=Summary!$P$28,VLOOKUP(Summary!M196,Summary!$Q$28:$R$29,2),VLOOKUP(Summary!M196,Summary!$Q$30:$R$32,2)))</f>
        <v>Sprig 4</v>
      </c>
      <c r="E189" t="str">
        <f>VLOOKUP(Summary!M199,Summary!$P$42:$Q$43,2)</f>
        <v>86</v>
      </c>
      <c r="F189">
        <f>IF(LEFT(A189,3)="B60",20,IF(LEFT(A189,3)="B12",30,25))+B189*0.5+INT(Summary!M202*20)</f>
        <v>524</v>
      </c>
      <c r="G189">
        <f>ROUND(IF(OR(ISERROR(FIND(Summary!$P$89,CONCATENATE(C189,D189,E189))),ISERROR(FIND(Summary!$Q$89,A189))),Summary!$R$45,IF(H189&gt;Summary!$V$3,Summary!$R$46,Summary!$R$45))*(B189+30),0)</f>
        <v>121</v>
      </c>
      <c r="H189">
        <f>IF(H188&gt;Summary!$V$4,0,H188+F188)</f>
        <v>70613</v>
      </c>
      <c r="I189" s="26">
        <f>DATE(YEAR(Summary!$V$2),MONTH(Summary!$V$2),DAY(Summary!$V$2)+INT(H189/480))</f>
        <v>43737</v>
      </c>
      <c r="J189" s="27">
        <f t="shared" si="3"/>
        <v>0.37013888888888885</v>
      </c>
    </row>
    <row r="190" spans="1:10">
      <c r="A190" t="str">
        <f>VLOOKUP(Summary!M189,Summary!$P$13:$Q$24,2)</f>
        <v>B1700-lime</v>
      </c>
      <c r="B190">
        <f>ROUND(NORMINV(Summary!M191,VLOOKUP(A190,Summary!$Q$13:$S$24,3,FALSE),VLOOKUP(A190,Summary!$Q$13:$S$24,3,FALSE)/6),-1)</f>
        <v>490</v>
      </c>
      <c r="C190" t="str">
        <f>IF(AND(H190=0,C189=Summary!$P$2),Summary!$Q$2,IF(AND(H190=0,C189=Summary!$Q$2),Summary!$R$2,C189))</f>
        <v>Neesha</v>
      </c>
      <c r="D190" t="str">
        <f>IF(C190=Summary!$P$26,VLOOKUP(Summary!M197,Summary!$Q$26:$R$27,2),IF('Run Data'!C190=Summary!$P$28,VLOOKUP(Summary!M197,Summary!$Q$28:$R$29,2),VLOOKUP(Summary!M197,Summary!$Q$30:$R$32,2)))</f>
        <v>Sprig 1</v>
      </c>
      <c r="E190" t="str">
        <f>VLOOKUP(Summary!M200,Summary!$P$42:$Q$43,2)</f>
        <v>86</v>
      </c>
      <c r="F190">
        <f>IF(LEFT(A190,3)="B60",20,IF(LEFT(A190,3)="B12",30,25))+B190*0.5+INT(Summary!M203*20)</f>
        <v>283</v>
      </c>
      <c r="G190">
        <f>ROUND(IF(OR(ISERROR(FIND(Summary!$P$89,CONCATENATE(C190,D190,E190))),ISERROR(FIND(Summary!$Q$89,A190))),Summary!$R$45,IF(H190&gt;Summary!$V$3,Summary!$R$46,Summary!$R$45))*(B190+30),0)</f>
        <v>62</v>
      </c>
      <c r="H190">
        <f>IF(H189&gt;Summary!$V$4,0,H189+F189)</f>
        <v>71137</v>
      </c>
      <c r="I190" s="26">
        <f>DATE(YEAR(Summary!$V$2),MONTH(Summary!$V$2),DAY(Summary!$V$2)+INT(H190/480))</f>
        <v>43738</v>
      </c>
      <c r="J190" s="27">
        <f t="shared" si="3"/>
        <v>0.40069444444444446</v>
      </c>
    </row>
    <row r="191" spans="1:10">
      <c r="A191" t="str">
        <f>VLOOKUP(Summary!M190,Summary!$P$13:$Q$24,2)</f>
        <v>B1700-lime</v>
      </c>
      <c r="B191">
        <f>ROUND(NORMINV(Summary!M192,VLOOKUP(A191,Summary!$Q$13:$S$24,3,FALSE),VLOOKUP(A191,Summary!$Q$13:$S$24,3,FALSE)/6),-1)</f>
        <v>440</v>
      </c>
      <c r="C191" t="str">
        <f>IF(AND(H191=0,C190=Summary!$P$2),Summary!$Q$2,IF(AND(H191=0,C190=Summary!$Q$2),Summary!$R$2,C190))</f>
        <v>Neesha</v>
      </c>
      <c r="D191" t="str">
        <f>IF(C191=Summary!$P$26,VLOOKUP(Summary!M198,Summary!$Q$26:$R$27,2),IF('Run Data'!C191=Summary!$P$28,VLOOKUP(Summary!M198,Summary!$Q$28:$R$29,2),VLOOKUP(Summary!M198,Summary!$Q$30:$R$32,2)))</f>
        <v>Sprig 1</v>
      </c>
      <c r="E191" t="str">
        <f>VLOOKUP(Summary!M201,Summary!$P$42:$Q$43,2)</f>
        <v>86</v>
      </c>
      <c r="F191">
        <f>IF(LEFT(A191,3)="B60",20,IF(LEFT(A191,3)="B12",30,25))+B191*0.5+INT(Summary!M204*20)</f>
        <v>254</v>
      </c>
      <c r="G191">
        <f>ROUND(IF(OR(ISERROR(FIND(Summary!$P$89,CONCATENATE(C191,D191,E191))),ISERROR(FIND(Summary!$Q$89,A191))),Summary!$R$45,IF(H191&gt;Summary!$V$3,Summary!$R$46,Summary!$R$45))*(B191+30),0)</f>
        <v>56</v>
      </c>
      <c r="H191">
        <f>IF(H190&gt;Summary!$V$4,0,H190+F190)</f>
        <v>71420</v>
      </c>
      <c r="I191" s="26">
        <f>DATE(YEAR(Summary!$V$2),MONTH(Summary!$V$2),DAY(Summary!$V$2)+INT(H191/480))</f>
        <v>43738</v>
      </c>
      <c r="J191" s="27">
        <f t="shared" si="3"/>
        <v>0.59722222222222221</v>
      </c>
    </row>
    <row r="192" spans="1:10">
      <c r="A192" t="str">
        <f>VLOOKUP(Summary!M191,Summary!$P$13:$Q$24,2)</f>
        <v>B1700-lime</v>
      </c>
      <c r="B192">
        <f>ROUND(NORMINV(Summary!M193,VLOOKUP(A192,Summary!$Q$13:$S$24,3,FALSE),VLOOKUP(A192,Summary!$Q$13:$S$24,3,FALSE)/6),-1)</f>
        <v>400</v>
      </c>
      <c r="C192" t="str">
        <f>IF(AND(H192=0,C191=Summary!$P$2),Summary!$Q$2,IF(AND(H192=0,C191=Summary!$Q$2),Summary!$R$2,C191))</f>
        <v>Neesha</v>
      </c>
      <c r="D192" t="str">
        <f>IF(C192=Summary!$P$26,VLOOKUP(Summary!M199,Summary!$Q$26:$R$27,2),IF('Run Data'!C192=Summary!$P$28,VLOOKUP(Summary!M199,Summary!$Q$28:$R$29,2),VLOOKUP(Summary!M199,Summary!$Q$30:$R$32,2)))</f>
        <v>Sprig 4</v>
      </c>
      <c r="E192" t="str">
        <f>VLOOKUP(Summary!M202,Summary!$P$42:$Q$43,2)</f>
        <v>86</v>
      </c>
      <c r="F192">
        <f>IF(LEFT(A192,3)="B60",20,IF(LEFT(A192,3)="B12",30,25))+B192*0.5+INT(Summary!M205*20)</f>
        <v>226</v>
      </c>
      <c r="G192">
        <f>ROUND(IF(OR(ISERROR(FIND(Summary!$P$89,CONCATENATE(C192,D192,E192))),ISERROR(FIND(Summary!$Q$89,A192))),Summary!$R$45,IF(H192&gt;Summary!$V$3,Summary!$R$46,Summary!$R$45))*(B192+30),0)</f>
        <v>52</v>
      </c>
      <c r="H192">
        <f>IF(H191&gt;Summary!$V$4,0,H191+F191)</f>
        <v>71674</v>
      </c>
      <c r="I192" s="26">
        <f>DATE(YEAR(Summary!$V$2),MONTH(Summary!$V$2),DAY(Summary!$V$2)+INT(H192/480))</f>
        <v>43739</v>
      </c>
      <c r="J192" s="27">
        <f t="shared" si="3"/>
        <v>0.44027777777777777</v>
      </c>
    </row>
    <row r="193" spans="1:10">
      <c r="A193" t="str">
        <f>VLOOKUP(Summary!M192,Summary!$P$13:$Q$24,2)</f>
        <v>B1700-plum</v>
      </c>
      <c r="B193">
        <f>ROUND(NORMINV(Summary!M194,VLOOKUP(A193,Summary!$Q$13:$S$24,3,FALSE),VLOOKUP(A193,Summary!$Q$13:$S$24,3,FALSE)/6),-1)</f>
        <v>330</v>
      </c>
      <c r="C193" t="str">
        <f>IF(AND(H193=0,C192=Summary!$P$2),Summary!$Q$2,IF(AND(H193=0,C192=Summary!$Q$2),Summary!$R$2,C192))</f>
        <v>Neesha</v>
      </c>
      <c r="D193" t="str">
        <f>IF(C193=Summary!$P$26,VLOOKUP(Summary!M200,Summary!$Q$26:$R$27,2),IF('Run Data'!C193=Summary!$P$28,VLOOKUP(Summary!M200,Summary!$Q$28:$R$29,2),VLOOKUP(Summary!M200,Summary!$Q$30:$R$32,2)))</f>
        <v>Sprig 1</v>
      </c>
      <c r="E193" t="str">
        <f>VLOOKUP(Summary!M203,Summary!$P$42:$Q$43,2)</f>
        <v>86</v>
      </c>
      <c r="F193">
        <f>IF(LEFT(A193,3)="B60",20,IF(LEFT(A193,3)="B12",30,25))+B193*0.5+INT(Summary!M206*20)</f>
        <v>198</v>
      </c>
      <c r="G193">
        <f>ROUND(IF(OR(ISERROR(FIND(Summary!$P$89,CONCATENATE(C193,D193,E193))),ISERROR(FIND(Summary!$Q$89,A193))),Summary!$R$45,IF(H193&gt;Summary!$V$3,Summary!$R$46,Summary!$R$45))*(B193+30),0)</f>
        <v>43</v>
      </c>
      <c r="H193">
        <f>IF(H192&gt;Summary!$V$4,0,H192+F192)</f>
        <v>71900</v>
      </c>
      <c r="I193" s="26">
        <f>DATE(YEAR(Summary!$V$2),MONTH(Summary!$V$2),DAY(Summary!$V$2)+INT(H193/480))</f>
        <v>43739</v>
      </c>
      <c r="J193" s="27">
        <f t="shared" si="3"/>
        <v>0.59722222222222221</v>
      </c>
    </row>
    <row r="194" spans="1:10">
      <c r="A194" t="str">
        <f>VLOOKUP(Summary!M193,Summary!$P$13:$Q$24,2)</f>
        <v>B1200-fire</v>
      </c>
      <c r="B194">
        <f>ROUND(NORMINV(Summary!M195,VLOOKUP(A194,Summary!$Q$13:$S$24,3,FALSE),VLOOKUP(A194,Summary!$Q$13:$S$24,3,FALSE)/6),-1)</f>
        <v>960</v>
      </c>
      <c r="C194" t="str">
        <f>IF(AND(H194=0,C193=Summary!$P$2),Summary!$Q$2,IF(AND(H194=0,C193=Summary!$Q$2),Summary!$R$2,C193))</f>
        <v>Neesha</v>
      </c>
      <c r="D194" t="str">
        <f>IF(C194=Summary!$P$26,VLOOKUP(Summary!M201,Summary!$Q$26:$R$27,2),IF('Run Data'!C194=Summary!$P$28,VLOOKUP(Summary!M201,Summary!$Q$28:$R$29,2),VLOOKUP(Summary!M201,Summary!$Q$30:$R$32,2)))</f>
        <v>Sprig 4</v>
      </c>
      <c r="E194" t="str">
        <f>VLOOKUP(Summary!M204,Summary!$P$42:$Q$43,2)</f>
        <v>86</v>
      </c>
      <c r="F194">
        <f>IF(LEFT(A194,3)="B60",20,IF(LEFT(A194,3)="B12",30,25))+B194*0.5+INT(Summary!M207*20)</f>
        <v>527</v>
      </c>
      <c r="G194">
        <f>ROUND(IF(OR(ISERROR(FIND(Summary!$P$89,CONCATENATE(C194,D194,E194))),ISERROR(FIND(Summary!$Q$89,A194))),Summary!$R$45,IF(H194&gt;Summary!$V$3,Summary!$R$46,Summary!$R$45))*(B194+30),0)</f>
        <v>10</v>
      </c>
      <c r="H194">
        <f>IF(H193&gt;Summary!$V$4,0,H193+F193)</f>
        <v>72098</v>
      </c>
      <c r="I194" s="26">
        <f>DATE(YEAR(Summary!$V$2),MONTH(Summary!$V$2),DAY(Summary!$V$2)+INT(H194/480))</f>
        <v>43740</v>
      </c>
      <c r="J194" s="27">
        <f t="shared" si="3"/>
        <v>0.40138888888888885</v>
      </c>
    </row>
    <row r="195" spans="1:10">
      <c r="A195" t="str">
        <f>VLOOKUP(Summary!M194,Summary!$P$13:$Q$24,2)</f>
        <v>B1700-plum</v>
      </c>
      <c r="B195">
        <f>ROUND(NORMINV(Summary!M196,VLOOKUP(A195,Summary!$Q$13:$S$24,3,FALSE),VLOOKUP(A195,Summary!$Q$13:$S$24,3,FALSE)/6),-1)</f>
        <v>360</v>
      </c>
      <c r="C195" t="str">
        <f>IF(AND(H195=0,C194=Summary!$P$2),Summary!$Q$2,IF(AND(H195=0,C194=Summary!$Q$2),Summary!$R$2,C194))</f>
        <v>Neesha</v>
      </c>
      <c r="D195" t="str">
        <f>IF(C195=Summary!$P$26,VLOOKUP(Summary!M202,Summary!$Q$26:$R$27,2),IF('Run Data'!C195=Summary!$P$28,VLOOKUP(Summary!M202,Summary!$Q$28:$R$29,2),VLOOKUP(Summary!M202,Summary!$Q$30:$R$32,2)))</f>
        <v>Sprig 1</v>
      </c>
      <c r="E195" t="str">
        <f>VLOOKUP(Summary!M205,Summary!$P$42:$Q$43,2)</f>
        <v>86</v>
      </c>
      <c r="F195">
        <f>IF(LEFT(A195,3)="B60",20,IF(LEFT(A195,3)="B12",30,25))+B195*0.5+INT(Summary!M208*20)</f>
        <v>213</v>
      </c>
      <c r="G195">
        <f>ROUND(IF(OR(ISERROR(FIND(Summary!$P$89,CONCATENATE(C195,D195,E195))),ISERROR(FIND(Summary!$Q$89,A195))),Summary!$R$45,IF(H195&gt;Summary!$V$3,Summary!$R$46,Summary!$R$45))*(B195+30),0)</f>
        <v>47</v>
      </c>
      <c r="H195">
        <f>IF(H194&gt;Summary!$V$4,0,H194+F194)</f>
        <v>72625</v>
      </c>
      <c r="I195" s="26">
        <f>DATE(YEAR(Summary!$V$2),MONTH(Summary!$V$2),DAY(Summary!$V$2)+INT(H195/480))</f>
        <v>43741</v>
      </c>
      <c r="J195" s="27">
        <f t="shared" si="3"/>
        <v>0.43402777777777773</v>
      </c>
    </row>
    <row r="196" spans="1:10">
      <c r="A196" t="str">
        <f>VLOOKUP(Summary!M195,Summary!$P$13:$Q$24,2)</f>
        <v>B600-fire</v>
      </c>
      <c r="B196">
        <f>ROUND(NORMINV(Summary!M197,VLOOKUP(A196,Summary!$Q$13:$S$24,3,FALSE),VLOOKUP(A196,Summary!$Q$13:$S$24,3,FALSE)/6),-1)</f>
        <v>400</v>
      </c>
      <c r="C196" t="str">
        <f>IF(AND(H196=0,C195=Summary!$P$2),Summary!$Q$2,IF(AND(H196=0,C195=Summary!$Q$2),Summary!$R$2,C195))</f>
        <v>Neesha</v>
      </c>
      <c r="D196" t="str">
        <f>IF(C196=Summary!$P$26,VLOOKUP(Summary!M203,Summary!$Q$26:$R$27,2),IF('Run Data'!C196=Summary!$P$28,VLOOKUP(Summary!M203,Summary!$Q$28:$R$29,2),VLOOKUP(Summary!M203,Summary!$Q$30:$R$32,2)))</f>
        <v>Sprig 1</v>
      </c>
      <c r="E196" t="str">
        <f>VLOOKUP(Summary!M206,Summary!$P$42:$Q$43,2)</f>
        <v>86</v>
      </c>
      <c r="F196">
        <f>IF(LEFT(A196,3)="B60",20,IF(LEFT(A196,3)="B12",30,25))+B196*0.5+INT(Summary!M209*20)</f>
        <v>236</v>
      </c>
      <c r="G196">
        <f>ROUND(IF(OR(ISERROR(FIND(Summary!$P$89,CONCATENATE(C196,D196,E196))),ISERROR(FIND(Summary!$Q$89,A196))),Summary!$R$45,IF(H196&gt;Summary!$V$3,Summary!$R$46,Summary!$R$45))*(B196+30),0)</f>
        <v>4</v>
      </c>
      <c r="H196">
        <f>IF(H195&gt;Summary!$V$4,0,H195+F195)</f>
        <v>72838</v>
      </c>
      <c r="I196" s="26">
        <f>DATE(YEAR(Summary!$V$2),MONTH(Summary!$V$2),DAY(Summary!$V$2)+INT(H196/480))</f>
        <v>43741</v>
      </c>
      <c r="J196" s="27">
        <f t="shared" si="3"/>
        <v>0.58194444444444449</v>
      </c>
    </row>
    <row r="197" spans="1:10">
      <c r="A197" t="str">
        <f>VLOOKUP(Summary!M196,Summary!$P$13:$Q$24,2)</f>
        <v>B1700-fire</v>
      </c>
      <c r="B197">
        <f>ROUND(NORMINV(Summary!M198,VLOOKUP(A197,Summary!$Q$13:$S$24,3,FALSE),VLOOKUP(A197,Summary!$Q$13:$S$24,3,FALSE)/6),-1)</f>
        <v>770</v>
      </c>
      <c r="C197" t="str">
        <f>IF(AND(H197=0,C196=Summary!$P$2),Summary!$Q$2,IF(AND(H197=0,C196=Summary!$Q$2),Summary!$R$2,C196))</f>
        <v>Neesha</v>
      </c>
      <c r="D197" t="str">
        <f>IF(C197=Summary!$P$26,VLOOKUP(Summary!M204,Summary!$Q$26:$R$27,2),IF('Run Data'!C197=Summary!$P$28,VLOOKUP(Summary!M204,Summary!$Q$28:$R$29,2),VLOOKUP(Summary!M204,Summary!$Q$30:$R$32,2)))</f>
        <v>Sprig 1</v>
      </c>
      <c r="E197" t="str">
        <f>VLOOKUP(Summary!M207,Summary!$P$42:$Q$43,2)</f>
        <v>87b</v>
      </c>
      <c r="F197">
        <f>IF(LEFT(A197,3)="B60",20,IF(LEFT(A197,3)="B12",30,25))+B197*0.5+INT(Summary!M210*20)</f>
        <v>429</v>
      </c>
      <c r="G197">
        <f>ROUND(IF(OR(ISERROR(FIND(Summary!$P$89,CONCATENATE(C197,D197,E197))),ISERROR(FIND(Summary!$Q$89,A197))),Summary!$R$45,IF(H197&gt;Summary!$V$3,Summary!$R$46,Summary!$R$45))*(B197+30),0)</f>
        <v>8</v>
      </c>
      <c r="H197">
        <f>IF(H196&gt;Summary!$V$4,0,H196+F196)</f>
        <v>73074</v>
      </c>
      <c r="I197" s="26">
        <f>DATE(YEAR(Summary!$V$2),MONTH(Summary!$V$2),DAY(Summary!$V$2)+INT(H197/480))</f>
        <v>43742</v>
      </c>
      <c r="J197" s="27">
        <f t="shared" si="3"/>
        <v>0.41250000000000003</v>
      </c>
    </row>
    <row r="198" spans="1:10">
      <c r="A198" t="str">
        <f>VLOOKUP(Summary!M197,Summary!$P$13:$Q$24,2)</f>
        <v>B1200-fire</v>
      </c>
      <c r="B198">
        <f>ROUND(NORMINV(Summary!M199,VLOOKUP(A198,Summary!$Q$13:$S$24,3,FALSE),VLOOKUP(A198,Summary!$Q$13:$S$24,3,FALSE)/6),-1)</f>
        <v>1350</v>
      </c>
      <c r="C198" t="str">
        <f>IF(AND(H198=0,C197=Summary!$P$2),Summary!$Q$2,IF(AND(H198=0,C197=Summary!$Q$2),Summary!$R$2,C197))</f>
        <v>Neesha</v>
      </c>
      <c r="D198" t="str">
        <f>IF(C198=Summary!$P$26,VLOOKUP(Summary!M205,Summary!$Q$26:$R$27,2),IF('Run Data'!C198=Summary!$P$28,VLOOKUP(Summary!M205,Summary!$Q$28:$R$29,2),VLOOKUP(Summary!M205,Summary!$Q$30:$R$32,2)))</f>
        <v>Sprig 1</v>
      </c>
      <c r="E198" t="str">
        <f>VLOOKUP(Summary!M208,Summary!$P$42:$Q$43,2)</f>
        <v>86</v>
      </c>
      <c r="F198">
        <f>IF(LEFT(A198,3)="B60",20,IF(LEFT(A198,3)="B12",30,25))+B198*0.5+INT(Summary!M211*20)</f>
        <v>709</v>
      </c>
      <c r="G198">
        <f>ROUND(IF(OR(ISERROR(FIND(Summary!$P$89,CONCATENATE(C198,D198,E198))),ISERROR(FIND(Summary!$Q$89,A198))),Summary!$R$45,IF(H198&gt;Summary!$V$3,Summary!$R$46,Summary!$R$45))*(B198+30),0)</f>
        <v>14</v>
      </c>
      <c r="H198">
        <f>IF(H197&gt;Summary!$V$4,0,H197+F197)</f>
        <v>73503</v>
      </c>
      <c r="I198" s="26">
        <f>DATE(YEAR(Summary!$V$2),MONTH(Summary!$V$2),DAY(Summary!$V$2)+INT(H198/480))</f>
        <v>43743</v>
      </c>
      <c r="J198" s="27">
        <f t="shared" si="3"/>
        <v>0.37708333333333338</v>
      </c>
    </row>
    <row r="199" spans="1:10">
      <c r="A199" t="str">
        <f>VLOOKUP(Summary!M198,Summary!$P$13:$Q$24,2)</f>
        <v>B1200-lime</v>
      </c>
      <c r="B199">
        <f>ROUND(NORMINV(Summary!M200,VLOOKUP(A199,Summary!$Q$13:$S$24,3,FALSE),VLOOKUP(A199,Summary!$Q$13:$S$24,3,FALSE)/6),-1)</f>
        <v>600</v>
      </c>
      <c r="C199" t="str">
        <f>IF(AND(H199=0,C198=Summary!$P$2),Summary!$Q$2,IF(AND(H199=0,C198=Summary!$Q$2),Summary!$R$2,C198))</f>
        <v>Neesha</v>
      </c>
      <c r="D199" t="str">
        <f>IF(C199=Summary!$P$26,VLOOKUP(Summary!M206,Summary!$Q$26:$R$27,2),IF('Run Data'!C199=Summary!$P$28,VLOOKUP(Summary!M206,Summary!$Q$28:$R$29,2),VLOOKUP(Summary!M206,Summary!$Q$30:$R$32,2)))</f>
        <v>Sprig 1</v>
      </c>
      <c r="E199" t="str">
        <f>VLOOKUP(Summary!M209,Summary!$P$42:$Q$43,2)</f>
        <v>86</v>
      </c>
      <c r="F199">
        <f>IF(LEFT(A199,3)="B60",20,IF(LEFT(A199,3)="B12",30,25))+B199*0.5+INT(Summary!M212*20)</f>
        <v>340</v>
      </c>
      <c r="G199">
        <f>ROUND(IF(OR(ISERROR(FIND(Summary!$P$89,CONCATENATE(C199,D199,E199))),ISERROR(FIND(Summary!$Q$89,A199))),Summary!$R$45,IF(H199&gt;Summary!$V$3,Summary!$R$46,Summary!$R$45))*(B199+30),0)</f>
        <v>6</v>
      </c>
      <c r="H199">
        <f>IF(H198&gt;Summary!$V$4,0,H198+F198)</f>
        <v>74212</v>
      </c>
      <c r="I199" s="26">
        <f>DATE(YEAR(Summary!$V$2),MONTH(Summary!$V$2),DAY(Summary!$V$2)+INT(H199/480))</f>
        <v>43744</v>
      </c>
      <c r="J199" s="27">
        <f t="shared" si="3"/>
        <v>0.53611111111111109</v>
      </c>
    </row>
    <row r="200" spans="1:10">
      <c r="A200" t="str">
        <f>VLOOKUP(Summary!M199,Summary!$P$13:$Q$24,2)</f>
        <v>B1700-sky</v>
      </c>
      <c r="B200">
        <f>ROUND(NORMINV(Summary!M201,VLOOKUP(A200,Summary!$Q$13:$S$24,3,FALSE),VLOOKUP(A200,Summary!$Q$13:$S$24,3,FALSE)/6),-1)</f>
        <v>620</v>
      </c>
      <c r="C200" t="str">
        <f>IF(AND(H200=0,C199=Summary!$P$2),Summary!$Q$2,IF(AND(H200=0,C199=Summary!$Q$2),Summary!$R$2,C199))</f>
        <v>Neesha</v>
      </c>
      <c r="D200" t="str">
        <f>IF(C200=Summary!$P$26,VLOOKUP(Summary!M207,Summary!$Q$26:$R$27,2),IF('Run Data'!C200=Summary!$P$28,VLOOKUP(Summary!M207,Summary!$Q$28:$R$29,2),VLOOKUP(Summary!M207,Summary!$Q$30:$R$32,2)))</f>
        <v>Sprig 4</v>
      </c>
      <c r="E200" t="str">
        <f>VLOOKUP(Summary!M210,Summary!$P$42:$Q$43,2)</f>
        <v>87b</v>
      </c>
      <c r="F200">
        <f>IF(LEFT(A200,3)="B60",20,IF(LEFT(A200,3)="B12",30,25))+B200*0.5+INT(Summary!M213*20)</f>
        <v>338</v>
      </c>
      <c r="G200">
        <f>ROUND(IF(OR(ISERROR(FIND(Summary!$P$89,CONCATENATE(C200,D200,E200))),ISERROR(FIND(Summary!$Q$89,A200))),Summary!$R$45,IF(H200&gt;Summary!$V$3,Summary!$R$46,Summary!$R$45))*(B200+30),0)</f>
        <v>7</v>
      </c>
      <c r="H200">
        <f>IF(H199&gt;Summary!$V$4,0,H199+F199)</f>
        <v>74552</v>
      </c>
      <c r="I200" s="26">
        <f>DATE(YEAR(Summary!$V$2),MONTH(Summary!$V$2),DAY(Summary!$V$2)+INT(H200/480))</f>
        <v>43745</v>
      </c>
      <c r="J200" s="27">
        <f t="shared" si="3"/>
        <v>0.43888888888888888</v>
      </c>
    </row>
    <row r="201" spans="1:10">
      <c r="A201" t="str">
        <f>VLOOKUP(Summary!M200,Summary!$P$13:$Q$24,2)</f>
        <v>B600-sky</v>
      </c>
      <c r="B201">
        <f>ROUND(NORMINV(Summary!M202,VLOOKUP(A201,Summary!$Q$13:$S$24,3,FALSE),VLOOKUP(A201,Summary!$Q$13:$S$24,3,FALSE)/6),-1)</f>
        <v>490</v>
      </c>
      <c r="C201" t="str">
        <f>IF(AND(H201=0,C200=Summary!$P$2),Summary!$Q$2,IF(AND(H201=0,C200=Summary!$Q$2),Summary!$R$2,C200))</f>
        <v>Neesha</v>
      </c>
      <c r="D201" t="str">
        <f>IF(C201=Summary!$P$26,VLOOKUP(Summary!M208,Summary!$Q$26:$R$27,2),IF('Run Data'!C201=Summary!$P$28,VLOOKUP(Summary!M208,Summary!$Q$28:$R$29,2),VLOOKUP(Summary!M208,Summary!$Q$30:$R$32,2)))</f>
        <v>Sprig 1</v>
      </c>
      <c r="E201" t="str">
        <f>VLOOKUP(Summary!M211,Summary!$P$42:$Q$43,2)</f>
        <v>86</v>
      </c>
      <c r="F201">
        <f>IF(LEFT(A201,3)="B60",20,IF(LEFT(A201,3)="B12",30,25))+B201*0.5+INT(Summary!M214*20)</f>
        <v>275</v>
      </c>
      <c r="G201">
        <f>ROUND(IF(OR(ISERROR(FIND(Summary!$P$89,CONCATENATE(C201,D201,E201))),ISERROR(FIND(Summary!$Q$89,A201))),Summary!$R$45,IF(H201&gt;Summary!$V$3,Summary!$R$46,Summary!$R$45))*(B201+30),0)</f>
        <v>5</v>
      </c>
      <c r="H201">
        <f>IF(H200&gt;Summary!$V$4,0,H200+F200)</f>
        <v>74890</v>
      </c>
      <c r="I201" s="26">
        <f>DATE(YEAR(Summary!$V$2),MONTH(Summary!$V$2),DAY(Summary!$V$2)+INT(H201/480))</f>
        <v>43746</v>
      </c>
      <c r="J201" s="27">
        <f t="shared" si="3"/>
        <v>0.34027777777777773</v>
      </c>
    </row>
    <row r="202" spans="1:10">
      <c r="A202" t="str">
        <f>VLOOKUP(Summary!M201,Summary!$P$13:$Q$24,2)</f>
        <v>B1700-sky</v>
      </c>
      <c r="B202">
        <f>ROUND(NORMINV(Summary!M203,VLOOKUP(A202,Summary!$Q$13:$S$24,3,FALSE),VLOOKUP(A202,Summary!$Q$13:$S$24,3,FALSE)/6),-1)</f>
        <v>600</v>
      </c>
      <c r="C202" t="str">
        <f>IF(AND(H202=0,C201=Summary!$P$2),Summary!$Q$2,IF(AND(H202=0,C201=Summary!$Q$2),Summary!$R$2,C201))</f>
        <v>Neesha</v>
      </c>
      <c r="D202" t="str">
        <f>IF(C202=Summary!$P$26,VLOOKUP(Summary!M209,Summary!$Q$26:$R$27,2),IF('Run Data'!C202=Summary!$P$28,VLOOKUP(Summary!M209,Summary!$Q$28:$R$29,2),VLOOKUP(Summary!M209,Summary!$Q$30:$R$32,2)))</f>
        <v>Sprig 4</v>
      </c>
      <c r="E202" t="str">
        <f>VLOOKUP(Summary!M212,Summary!$P$42:$Q$43,2)</f>
        <v>86</v>
      </c>
      <c r="F202">
        <f>IF(LEFT(A202,3)="B60",20,IF(LEFT(A202,3)="B12",30,25))+B202*0.5+INT(Summary!M215*20)</f>
        <v>331</v>
      </c>
      <c r="G202">
        <f>ROUND(IF(OR(ISERROR(FIND(Summary!$P$89,CONCATENATE(C202,D202,E202))),ISERROR(FIND(Summary!$Q$89,A202))),Summary!$R$45,IF(H202&gt;Summary!$V$3,Summary!$R$46,Summary!$R$45))*(B202+30),0)</f>
        <v>76</v>
      </c>
      <c r="H202">
        <f>IF(H201&gt;Summary!$V$4,0,H201+F201)</f>
        <v>75165</v>
      </c>
      <c r="I202" s="26">
        <f>DATE(YEAR(Summary!$V$2),MONTH(Summary!$V$2),DAY(Summary!$V$2)+INT(H202/480))</f>
        <v>43746</v>
      </c>
      <c r="J202" s="27">
        <f t="shared" si="3"/>
        <v>0.53125</v>
      </c>
    </row>
    <row r="203" spans="1:10">
      <c r="A203" t="str">
        <f>VLOOKUP(Summary!M202,Summary!$P$13:$Q$24,2)</f>
        <v>B1200-fire</v>
      </c>
      <c r="B203">
        <f>ROUND(NORMINV(Summary!M204,VLOOKUP(A203,Summary!$Q$13:$S$24,3,FALSE),VLOOKUP(A203,Summary!$Q$13:$S$24,3,FALSE)/6),-1)</f>
        <v>1190</v>
      </c>
      <c r="C203" t="str">
        <f>IF(AND(H203=0,C202=Summary!$P$2),Summary!$Q$2,IF(AND(H203=0,C202=Summary!$Q$2),Summary!$R$2,C202))</f>
        <v>Neesha</v>
      </c>
      <c r="D203" t="str">
        <f>IF(C203=Summary!$P$26,VLOOKUP(Summary!M210,Summary!$Q$26:$R$27,2),IF('Run Data'!C203=Summary!$P$28,VLOOKUP(Summary!M210,Summary!$Q$28:$R$29,2),VLOOKUP(Summary!M210,Summary!$Q$30:$R$32,2)))</f>
        <v>Sprig 4</v>
      </c>
      <c r="E203" t="str">
        <f>VLOOKUP(Summary!M213,Summary!$P$42:$Q$43,2)</f>
        <v>86</v>
      </c>
      <c r="F203">
        <f>IF(LEFT(A203,3)="B60",20,IF(LEFT(A203,3)="B12",30,25))+B203*0.5+INT(Summary!M216*20)</f>
        <v>644</v>
      </c>
      <c r="G203">
        <f>ROUND(IF(OR(ISERROR(FIND(Summary!$P$89,CONCATENATE(C203,D203,E203))),ISERROR(FIND(Summary!$Q$89,A203))),Summary!$R$45,IF(H203&gt;Summary!$V$3,Summary!$R$46,Summary!$R$45))*(B203+30),0)</f>
        <v>12</v>
      </c>
      <c r="H203">
        <f>IF(H202&gt;Summary!$V$4,0,H202+F202)</f>
        <v>75496</v>
      </c>
      <c r="I203" s="26">
        <f>DATE(YEAR(Summary!$V$2),MONTH(Summary!$V$2),DAY(Summary!$V$2)+INT(H203/480))</f>
        <v>43747</v>
      </c>
      <c r="J203" s="27">
        <f t="shared" si="3"/>
        <v>0.42777777777777781</v>
      </c>
    </row>
    <row r="204" spans="1:10">
      <c r="A204" t="str">
        <f>VLOOKUP(Summary!M203,Summary!$P$13:$Q$24,2)</f>
        <v>B1200-lime</v>
      </c>
      <c r="B204">
        <f>ROUND(NORMINV(Summary!M205,VLOOKUP(A204,Summary!$Q$13:$S$24,3,FALSE),VLOOKUP(A204,Summary!$Q$13:$S$24,3,FALSE)/6),-1)</f>
        <v>630</v>
      </c>
      <c r="C204" t="str">
        <f>IF(AND(H204=0,C203=Summary!$P$2),Summary!$Q$2,IF(AND(H204=0,C203=Summary!$Q$2),Summary!$R$2,C203))</f>
        <v>Neesha</v>
      </c>
      <c r="D204" t="str">
        <f>IF(C204=Summary!$P$26,VLOOKUP(Summary!M211,Summary!$Q$26:$R$27,2),IF('Run Data'!C204=Summary!$P$28,VLOOKUP(Summary!M211,Summary!$Q$28:$R$29,2),VLOOKUP(Summary!M211,Summary!$Q$30:$R$32,2)))</f>
        <v>Sprig 1</v>
      </c>
      <c r="E204" t="str">
        <f>VLOOKUP(Summary!M214,Summary!$P$42:$Q$43,2)</f>
        <v>86</v>
      </c>
      <c r="F204">
        <f>IF(LEFT(A204,3)="B60",20,IF(LEFT(A204,3)="B12",30,25))+B204*0.5+INT(Summary!M217*20)</f>
        <v>363</v>
      </c>
      <c r="G204">
        <f>ROUND(IF(OR(ISERROR(FIND(Summary!$P$89,CONCATENATE(C204,D204,E204))),ISERROR(FIND(Summary!$Q$89,A204))),Summary!$R$45,IF(H204&gt;Summary!$V$3,Summary!$R$46,Summary!$R$45))*(B204+30),0)</f>
        <v>7</v>
      </c>
      <c r="H204">
        <f>IF(H203&gt;Summary!$V$4,0,H203+F203)</f>
        <v>76140</v>
      </c>
      <c r="I204" s="26">
        <f>DATE(YEAR(Summary!$V$2),MONTH(Summary!$V$2),DAY(Summary!$V$2)+INT(H204/480))</f>
        <v>43748</v>
      </c>
      <c r="J204" s="27">
        <f t="shared" si="3"/>
        <v>0.54166666666666663</v>
      </c>
    </row>
    <row r="205" spans="1:10">
      <c r="A205" t="str">
        <f>VLOOKUP(Summary!M204,Summary!$P$13:$Q$24,2)</f>
        <v>B1200-fire</v>
      </c>
      <c r="B205">
        <f>ROUND(NORMINV(Summary!M206,VLOOKUP(A205,Summary!$Q$13:$S$24,3,FALSE),VLOOKUP(A205,Summary!$Q$13:$S$24,3,FALSE)/6),-1)</f>
        <v>1160</v>
      </c>
      <c r="C205" t="str">
        <f>IF(AND(H205=0,C204=Summary!$P$2),Summary!$Q$2,IF(AND(H205=0,C204=Summary!$Q$2),Summary!$R$2,C204))</f>
        <v>Neesha</v>
      </c>
      <c r="D205" t="str">
        <f>IF(C205=Summary!$P$26,VLOOKUP(Summary!M212,Summary!$Q$26:$R$27,2),IF('Run Data'!C205=Summary!$P$28,VLOOKUP(Summary!M212,Summary!$Q$28:$R$29,2),VLOOKUP(Summary!M212,Summary!$Q$30:$R$32,2)))</f>
        <v>Sprig 1</v>
      </c>
      <c r="E205" t="str">
        <f>VLOOKUP(Summary!M215,Summary!$P$42:$Q$43,2)</f>
        <v>86</v>
      </c>
      <c r="F205">
        <f>IF(LEFT(A205,3)="B60",20,IF(LEFT(A205,3)="B12",30,25))+B205*0.5+INT(Summary!M218*20)</f>
        <v>617</v>
      </c>
      <c r="G205">
        <f>ROUND(IF(OR(ISERROR(FIND(Summary!$P$89,CONCATENATE(C205,D205,E205))),ISERROR(FIND(Summary!$Q$89,A205))),Summary!$R$45,IF(H205&gt;Summary!$V$3,Summary!$R$46,Summary!$R$45))*(B205+30),0)</f>
        <v>12</v>
      </c>
      <c r="H205">
        <f>IF(H204&gt;Summary!$V$4,0,H204+F204)</f>
        <v>76503</v>
      </c>
      <c r="I205" s="26">
        <f>DATE(YEAR(Summary!$V$2),MONTH(Summary!$V$2),DAY(Summary!$V$2)+INT(H205/480))</f>
        <v>43749</v>
      </c>
      <c r="J205" s="27">
        <f t="shared" si="3"/>
        <v>0.4604166666666667</v>
      </c>
    </row>
    <row r="206" spans="1:10">
      <c r="A206" t="str">
        <f>VLOOKUP(Summary!M205,Summary!$P$13:$Q$24,2)</f>
        <v>B600-sky</v>
      </c>
      <c r="B206">
        <f>ROUND(NORMINV(Summary!M207,VLOOKUP(A206,Summary!$Q$13:$S$24,3,FALSE),VLOOKUP(A206,Summary!$Q$13:$S$24,3,FALSE)/6),-1)</f>
        <v>600</v>
      </c>
      <c r="C206" t="str">
        <f>IF(AND(H206=0,C205=Summary!$P$2),Summary!$Q$2,IF(AND(H206=0,C205=Summary!$Q$2),Summary!$R$2,C205))</f>
        <v>Neesha</v>
      </c>
      <c r="D206" t="str">
        <f>IF(C206=Summary!$P$26,VLOOKUP(Summary!M213,Summary!$Q$26:$R$27,2),IF('Run Data'!C206=Summary!$P$28,VLOOKUP(Summary!M213,Summary!$Q$28:$R$29,2),VLOOKUP(Summary!M213,Summary!$Q$30:$R$32,2)))</f>
        <v>Sprig 1</v>
      </c>
      <c r="E206" t="str">
        <f>VLOOKUP(Summary!M216,Summary!$P$42:$Q$43,2)</f>
        <v>87b</v>
      </c>
      <c r="F206">
        <f>IF(LEFT(A206,3)="B60",20,IF(LEFT(A206,3)="B12",30,25))+B206*0.5+INT(Summary!M219*20)</f>
        <v>333</v>
      </c>
      <c r="G206">
        <f>ROUND(IF(OR(ISERROR(FIND(Summary!$P$89,CONCATENATE(C206,D206,E206))),ISERROR(FIND(Summary!$Q$89,A206))),Summary!$R$45,IF(H206&gt;Summary!$V$3,Summary!$R$46,Summary!$R$45))*(B206+30),0)</f>
        <v>6</v>
      </c>
      <c r="H206">
        <f>IF(H205&gt;Summary!$V$4,0,H205+F205)</f>
        <v>77120</v>
      </c>
      <c r="I206" s="26">
        <f>DATE(YEAR(Summary!$V$2),MONTH(Summary!$V$2),DAY(Summary!$V$2)+INT(H206/480))</f>
        <v>43750</v>
      </c>
      <c r="J206" s="27">
        <f t="shared" si="3"/>
        <v>0.55555555555555558</v>
      </c>
    </row>
    <row r="207" spans="1:10">
      <c r="A207" t="str">
        <f>VLOOKUP(Summary!M206,Summary!$P$13:$Q$24,2)</f>
        <v>B1200-sky</v>
      </c>
      <c r="B207">
        <f>ROUND(NORMINV(Summary!M208,VLOOKUP(A207,Summary!$Q$13:$S$24,3,FALSE),VLOOKUP(A207,Summary!$Q$13:$S$24,3,FALSE)/6),-1)</f>
        <v>1150</v>
      </c>
      <c r="C207" t="str">
        <f>IF(AND(H207=0,C206=Summary!$P$2),Summary!$Q$2,IF(AND(H207=0,C206=Summary!$Q$2),Summary!$R$2,C206))</f>
        <v>Neesha</v>
      </c>
      <c r="D207" t="str">
        <f>IF(C207=Summary!$P$26,VLOOKUP(Summary!M214,Summary!$Q$26:$R$27,2),IF('Run Data'!C207=Summary!$P$28,VLOOKUP(Summary!M214,Summary!$Q$28:$R$29,2),VLOOKUP(Summary!M214,Summary!$Q$30:$R$32,2)))</f>
        <v>Sprig 1</v>
      </c>
      <c r="E207" t="str">
        <f>VLOOKUP(Summary!M217,Summary!$P$42:$Q$43,2)</f>
        <v>87b</v>
      </c>
      <c r="F207">
        <f>IF(LEFT(A207,3)="B60",20,IF(LEFT(A207,3)="B12",30,25))+B207*0.5+INT(Summary!M220*20)</f>
        <v>611</v>
      </c>
      <c r="G207">
        <f>ROUND(IF(OR(ISERROR(FIND(Summary!$P$89,CONCATENATE(C207,D207,E207))),ISERROR(FIND(Summary!$Q$89,A207))),Summary!$R$45,IF(H207&gt;Summary!$V$3,Summary!$R$46,Summary!$R$45))*(B207+30),0)</f>
        <v>12</v>
      </c>
      <c r="H207">
        <f>IF(H206&gt;Summary!$V$4,0,H206+F206)</f>
        <v>77453</v>
      </c>
      <c r="I207" s="26">
        <f>DATE(YEAR(Summary!$V$2),MONTH(Summary!$V$2),DAY(Summary!$V$2)+INT(H207/480))</f>
        <v>43751</v>
      </c>
      <c r="J207" s="27">
        <f t="shared" si="3"/>
        <v>0.45347222222222222</v>
      </c>
    </row>
    <row r="208" spans="1:10">
      <c r="A208" t="str">
        <f>VLOOKUP(Summary!M207,Summary!$P$13:$Q$24,2)</f>
        <v>B1700-fire</v>
      </c>
      <c r="B208">
        <f>ROUND(NORMINV(Summary!M209,VLOOKUP(A208,Summary!$Q$13:$S$24,3,FALSE),VLOOKUP(A208,Summary!$Q$13:$S$24,3,FALSE)/6),-1)</f>
        <v>860</v>
      </c>
      <c r="C208" t="str">
        <f>IF(AND(H208=0,C207=Summary!$P$2),Summary!$Q$2,IF(AND(H208=0,C207=Summary!$Q$2),Summary!$R$2,C207))</f>
        <v>Neesha</v>
      </c>
      <c r="D208" t="str">
        <f>IF(C208=Summary!$P$26,VLOOKUP(Summary!M215,Summary!$Q$26:$R$27,2),IF('Run Data'!C208=Summary!$P$28,VLOOKUP(Summary!M215,Summary!$Q$28:$R$29,2),VLOOKUP(Summary!M215,Summary!$Q$30:$R$32,2)))</f>
        <v>Sprig 1</v>
      </c>
      <c r="E208" t="str">
        <f>VLOOKUP(Summary!M218,Summary!$P$42:$Q$43,2)</f>
        <v>86</v>
      </c>
      <c r="F208">
        <f>IF(LEFT(A208,3)="B60",20,IF(LEFT(A208,3)="B12",30,25))+B208*0.5+INT(Summary!M221*20)</f>
        <v>461</v>
      </c>
      <c r="G208">
        <f>ROUND(IF(OR(ISERROR(FIND(Summary!$P$89,CONCATENATE(C208,D208,E208))),ISERROR(FIND(Summary!$Q$89,A208))),Summary!$R$45,IF(H208&gt;Summary!$V$3,Summary!$R$46,Summary!$R$45))*(B208+30),0)</f>
        <v>107</v>
      </c>
      <c r="H208">
        <f>IF(H207&gt;Summary!$V$4,0,H207+F207)</f>
        <v>78064</v>
      </c>
      <c r="I208" s="26">
        <f>DATE(YEAR(Summary!$V$2),MONTH(Summary!$V$2),DAY(Summary!$V$2)+INT(H208/480))</f>
        <v>43752</v>
      </c>
      <c r="J208" s="27">
        <f t="shared" si="3"/>
        <v>0.5444444444444444</v>
      </c>
    </row>
    <row r="209" spans="1:10">
      <c r="A209" t="str">
        <f>VLOOKUP(Summary!M208,Summary!$P$13:$Q$24,2)</f>
        <v>B1200-sky</v>
      </c>
      <c r="B209">
        <f>ROUND(NORMINV(Summary!M210,VLOOKUP(A209,Summary!$Q$13:$S$24,3,FALSE),VLOOKUP(A209,Summary!$Q$13:$S$24,3,FALSE)/6),-1)</f>
        <v>1590</v>
      </c>
      <c r="C209" t="str">
        <f>IF(AND(H209=0,C208=Summary!$P$2),Summary!$Q$2,IF(AND(H209=0,C208=Summary!$Q$2),Summary!$R$2,C208))</f>
        <v>Neesha</v>
      </c>
      <c r="D209" t="str">
        <f>IF(C209=Summary!$P$26,VLOOKUP(Summary!M216,Summary!$Q$26:$R$27,2),IF('Run Data'!C209=Summary!$P$28,VLOOKUP(Summary!M216,Summary!$Q$28:$R$29,2),VLOOKUP(Summary!M216,Summary!$Q$30:$R$32,2)))</f>
        <v>Sprig 4</v>
      </c>
      <c r="E209" t="str">
        <f>VLOOKUP(Summary!M219,Summary!$P$42:$Q$43,2)</f>
        <v>86</v>
      </c>
      <c r="F209">
        <f>IF(LEFT(A209,3)="B60",20,IF(LEFT(A209,3)="B12",30,25))+B209*0.5+INT(Summary!M222*20)</f>
        <v>834</v>
      </c>
      <c r="G209">
        <f>ROUND(IF(OR(ISERROR(FIND(Summary!$P$89,CONCATENATE(C209,D209,E209))),ISERROR(FIND(Summary!$Q$89,A209))),Summary!$R$45,IF(H209&gt;Summary!$V$3,Summary!$R$46,Summary!$R$45))*(B209+30),0)</f>
        <v>16</v>
      </c>
      <c r="H209">
        <f>IF(H208&gt;Summary!$V$4,0,H208+F208)</f>
        <v>78525</v>
      </c>
      <c r="I209" s="26">
        <f>DATE(YEAR(Summary!$V$2),MONTH(Summary!$V$2),DAY(Summary!$V$2)+INT(H209/480))</f>
        <v>43753</v>
      </c>
      <c r="J209" s="27">
        <f t="shared" ref="J209:J272" si="4">TIME(INT(MOD(H209,480)/60)+8,MOD(MOD(H209,480),60),0)</f>
        <v>0.53125</v>
      </c>
    </row>
    <row r="210" spans="1:10">
      <c r="A210" t="str">
        <f>VLOOKUP(Summary!M209,Summary!$P$13:$Q$24,2)</f>
        <v>B1700-sky</v>
      </c>
      <c r="B210">
        <f>ROUND(NORMINV(Summary!M211,VLOOKUP(A210,Summary!$Q$13:$S$24,3,FALSE),VLOOKUP(A210,Summary!$Q$13:$S$24,3,FALSE)/6),-1)</f>
        <v>480</v>
      </c>
      <c r="C210" t="str">
        <f>IF(AND(H210=0,C209=Summary!$P$2),Summary!$Q$2,IF(AND(H210=0,C209=Summary!$Q$2),Summary!$R$2,C209))</f>
        <v>Neesha</v>
      </c>
      <c r="D210" t="str">
        <f>IF(C210=Summary!$P$26,VLOOKUP(Summary!M217,Summary!$Q$26:$R$27,2),IF('Run Data'!C210=Summary!$P$28,VLOOKUP(Summary!M217,Summary!$Q$28:$R$29,2),VLOOKUP(Summary!M217,Summary!$Q$30:$R$32,2)))</f>
        <v>Sprig 4</v>
      </c>
      <c r="E210" t="str">
        <f>VLOOKUP(Summary!M220,Summary!$P$42:$Q$43,2)</f>
        <v>86</v>
      </c>
      <c r="F210">
        <f>IF(LEFT(A210,3)="B60",20,IF(LEFT(A210,3)="B12",30,25))+B210*0.5+INT(Summary!M223*20)</f>
        <v>275</v>
      </c>
      <c r="G210">
        <f>ROUND(IF(OR(ISERROR(FIND(Summary!$P$89,CONCATENATE(C210,D210,E210))),ISERROR(FIND(Summary!$Q$89,A210))),Summary!$R$45,IF(H210&gt;Summary!$V$3,Summary!$R$46,Summary!$R$45))*(B210+30),0)</f>
        <v>61</v>
      </c>
      <c r="H210">
        <f>IF(H209&gt;Summary!$V$4,0,H209+F209)</f>
        <v>79359</v>
      </c>
      <c r="I210" s="26">
        <f>DATE(YEAR(Summary!$V$2),MONTH(Summary!$V$2),DAY(Summary!$V$2)+INT(H210/480))</f>
        <v>43755</v>
      </c>
      <c r="J210" s="27">
        <f t="shared" si="4"/>
        <v>0.44375000000000003</v>
      </c>
    </row>
    <row r="211" spans="1:10">
      <c r="A211" t="str">
        <f>VLOOKUP(Summary!M210,Summary!$P$13:$Q$24,2)</f>
        <v>B1700-lime</v>
      </c>
      <c r="B211">
        <f>ROUND(NORMINV(Summary!M212,VLOOKUP(A211,Summary!$Q$13:$S$24,3,FALSE),VLOOKUP(A211,Summary!$Q$13:$S$24,3,FALSE)/6),-1)</f>
        <v>400</v>
      </c>
      <c r="C211" t="str">
        <f>IF(AND(H211=0,C210=Summary!$P$2),Summary!$Q$2,IF(AND(H211=0,C210=Summary!$Q$2),Summary!$R$2,C210))</f>
        <v>Neesha</v>
      </c>
      <c r="D211" t="str">
        <f>IF(C211=Summary!$P$26,VLOOKUP(Summary!M218,Summary!$Q$26:$R$27,2),IF('Run Data'!C211=Summary!$P$28,VLOOKUP(Summary!M218,Summary!$Q$28:$R$29,2),VLOOKUP(Summary!M218,Summary!$Q$30:$R$32,2)))</f>
        <v>Sprig 1</v>
      </c>
      <c r="E211" t="str">
        <f>VLOOKUP(Summary!M221,Summary!$P$42:$Q$43,2)</f>
        <v>86</v>
      </c>
      <c r="F211">
        <f>IF(LEFT(A211,3)="B60",20,IF(LEFT(A211,3)="B12",30,25))+B211*0.5+INT(Summary!M224*20)</f>
        <v>243</v>
      </c>
      <c r="G211">
        <f>ROUND(IF(OR(ISERROR(FIND(Summary!$P$89,CONCATENATE(C211,D211,E211))),ISERROR(FIND(Summary!$Q$89,A211))),Summary!$R$45,IF(H211&gt;Summary!$V$3,Summary!$R$46,Summary!$R$45))*(B211+30),0)</f>
        <v>52</v>
      </c>
      <c r="H211">
        <f>IF(H210&gt;Summary!$V$4,0,H210+F210)</f>
        <v>79634</v>
      </c>
      <c r="I211" s="26">
        <f>DATE(YEAR(Summary!$V$2),MONTH(Summary!$V$2),DAY(Summary!$V$2)+INT(H211/480))</f>
        <v>43755</v>
      </c>
      <c r="J211" s="27">
        <f t="shared" si="4"/>
        <v>0.63472222222222219</v>
      </c>
    </row>
    <row r="212" spans="1:10">
      <c r="A212" t="str">
        <f>VLOOKUP(Summary!M211,Summary!$P$13:$Q$24,2)</f>
        <v>B1200-plum</v>
      </c>
      <c r="B212">
        <f>ROUND(NORMINV(Summary!M213,VLOOKUP(A212,Summary!$Q$13:$S$24,3,FALSE),VLOOKUP(A212,Summary!$Q$13:$S$24,3,FALSE)/6),-1)</f>
        <v>380</v>
      </c>
      <c r="C212" t="str">
        <f>IF(AND(H212=0,C211=Summary!$P$2),Summary!$Q$2,IF(AND(H212=0,C211=Summary!$Q$2),Summary!$R$2,C211))</f>
        <v>Neesha</v>
      </c>
      <c r="D212" t="str">
        <f>IF(C212=Summary!$P$26,VLOOKUP(Summary!M219,Summary!$Q$26:$R$27,2),IF('Run Data'!C212=Summary!$P$28,VLOOKUP(Summary!M219,Summary!$Q$28:$R$29,2),VLOOKUP(Summary!M219,Summary!$Q$30:$R$32,2)))</f>
        <v>Sprig 1</v>
      </c>
      <c r="E212" t="str">
        <f>VLOOKUP(Summary!M222,Summary!$P$42:$Q$43,2)</f>
        <v>86</v>
      </c>
      <c r="F212">
        <f>IF(LEFT(A212,3)="B60",20,IF(LEFT(A212,3)="B12",30,25))+B212*0.5+INT(Summary!M225*20)</f>
        <v>233</v>
      </c>
      <c r="G212">
        <f>ROUND(IF(OR(ISERROR(FIND(Summary!$P$89,CONCATENATE(C212,D212,E212))),ISERROR(FIND(Summary!$Q$89,A212))),Summary!$R$45,IF(H212&gt;Summary!$V$3,Summary!$R$46,Summary!$R$45))*(B212+30),0)</f>
        <v>4</v>
      </c>
      <c r="H212">
        <f>IF(H211&gt;Summary!$V$4,0,H211+F211)</f>
        <v>79877</v>
      </c>
      <c r="I212" s="26">
        <f>DATE(YEAR(Summary!$V$2),MONTH(Summary!$V$2),DAY(Summary!$V$2)+INT(H212/480))</f>
        <v>43756</v>
      </c>
      <c r="J212" s="27">
        <f t="shared" si="4"/>
        <v>0.47013888888888888</v>
      </c>
    </row>
    <row r="213" spans="1:10">
      <c r="A213" t="str">
        <f>VLOOKUP(Summary!M212,Summary!$P$13:$Q$24,2)</f>
        <v>B1200-fire</v>
      </c>
      <c r="B213">
        <f>ROUND(NORMINV(Summary!M214,VLOOKUP(A213,Summary!$Q$13:$S$24,3,FALSE),VLOOKUP(A213,Summary!$Q$13:$S$24,3,FALSE)/6),-1)</f>
        <v>1210</v>
      </c>
      <c r="C213" t="str">
        <f>IF(AND(H213=0,C212=Summary!$P$2),Summary!$Q$2,IF(AND(H213=0,C212=Summary!$Q$2),Summary!$R$2,C212))</f>
        <v>Neesha</v>
      </c>
      <c r="D213" t="str">
        <f>IF(C213=Summary!$P$26,VLOOKUP(Summary!M220,Summary!$Q$26:$R$27,2),IF('Run Data'!C213=Summary!$P$28,VLOOKUP(Summary!M220,Summary!$Q$28:$R$29,2),VLOOKUP(Summary!M220,Summary!$Q$30:$R$32,2)))</f>
        <v>Sprig 1</v>
      </c>
      <c r="E213" t="str">
        <f>VLOOKUP(Summary!M223,Summary!$P$42:$Q$43,2)</f>
        <v>86</v>
      </c>
      <c r="F213">
        <f>IF(LEFT(A213,3)="B60",20,IF(LEFT(A213,3)="B12",30,25))+B213*0.5+INT(Summary!M226*20)</f>
        <v>636</v>
      </c>
      <c r="G213">
        <f>ROUND(IF(OR(ISERROR(FIND(Summary!$P$89,CONCATENATE(C213,D213,E213))),ISERROR(FIND(Summary!$Q$89,A213))),Summary!$R$45,IF(H213&gt;Summary!$V$3,Summary!$R$46,Summary!$R$45))*(B213+30),0)</f>
        <v>12</v>
      </c>
      <c r="H213">
        <f>IF(H212&gt;Summary!$V$4,0,H212+F212)</f>
        <v>80110</v>
      </c>
      <c r="I213" s="26">
        <f>DATE(YEAR(Summary!$V$2),MONTH(Summary!$V$2),DAY(Summary!$V$2)+INT(H213/480))</f>
        <v>43756</v>
      </c>
      <c r="J213" s="27">
        <f t="shared" si="4"/>
        <v>0.63194444444444442</v>
      </c>
    </row>
    <row r="214" spans="1:10">
      <c r="A214" t="str">
        <f>VLOOKUP(Summary!M213,Summary!$P$13:$Q$24,2)</f>
        <v>B600-lime</v>
      </c>
      <c r="B214">
        <f>ROUND(NORMINV(Summary!M215,VLOOKUP(A214,Summary!$Q$13:$S$24,3,FALSE),VLOOKUP(A214,Summary!$Q$13:$S$24,3,FALSE)/6),-1)</f>
        <v>270</v>
      </c>
      <c r="C214" t="str">
        <f>IF(AND(H214=0,C213=Summary!$P$2),Summary!$Q$2,IF(AND(H214=0,C213=Summary!$Q$2),Summary!$R$2,C213))</f>
        <v>Neesha</v>
      </c>
      <c r="D214" t="str">
        <f>IF(C214=Summary!$P$26,VLOOKUP(Summary!M221,Summary!$Q$26:$R$27,2),IF('Run Data'!C214=Summary!$P$28,VLOOKUP(Summary!M221,Summary!$Q$28:$R$29,2),VLOOKUP(Summary!M221,Summary!$Q$30:$R$32,2)))</f>
        <v>Sprig 1</v>
      </c>
      <c r="E214" t="str">
        <f>VLOOKUP(Summary!M224,Summary!$P$42:$Q$43,2)</f>
        <v>87b</v>
      </c>
      <c r="F214">
        <f>IF(LEFT(A214,3)="B60",20,IF(LEFT(A214,3)="B12",30,25))+B214*0.5+INT(Summary!M227*20)</f>
        <v>164</v>
      </c>
      <c r="G214">
        <f>ROUND(IF(OR(ISERROR(FIND(Summary!$P$89,CONCATENATE(C214,D214,E214))),ISERROR(FIND(Summary!$Q$89,A214))),Summary!$R$45,IF(H214&gt;Summary!$V$3,Summary!$R$46,Summary!$R$45))*(B214+30),0)</f>
        <v>3</v>
      </c>
      <c r="H214">
        <f>IF(H213&gt;Summary!$V$4,0,H213+F213)</f>
        <v>80746</v>
      </c>
      <c r="I214" s="26">
        <f>DATE(YEAR(Summary!$V$2),MONTH(Summary!$V$2),DAY(Summary!$V$2)+INT(H214/480))</f>
        <v>43758</v>
      </c>
      <c r="J214" s="27">
        <f t="shared" si="4"/>
        <v>0.4069444444444445</v>
      </c>
    </row>
    <row r="215" spans="1:10">
      <c r="A215" t="str">
        <f>VLOOKUP(Summary!M214,Summary!$P$13:$Q$24,2)</f>
        <v>B1200-fire</v>
      </c>
      <c r="B215">
        <f>ROUND(NORMINV(Summary!M216,VLOOKUP(A215,Summary!$Q$13:$S$24,3,FALSE),VLOOKUP(A215,Summary!$Q$13:$S$24,3,FALSE)/6),-1)</f>
        <v>1570</v>
      </c>
      <c r="C215" t="str">
        <f>IF(AND(H215=0,C214=Summary!$P$2),Summary!$Q$2,IF(AND(H215=0,C214=Summary!$Q$2),Summary!$R$2,C214))</f>
        <v>Neesha</v>
      </c>
      <c r="D215" t="str">
        <f>IF(C215=Summary!$P$26,VLOOKUP(Summary!M222,Summary!$Q$26:$R$27,2),IF('Run Data'!C215=Summary!$P$28,VLOOKUP(Summary!M222,Summary!$Q$28:$R$29,2),VLOOKUP(Summary!M222,Summary!$Q$30:$R$32,2)))</f>
        <v>Sprig 1</v>
      </c>
      <c r="E215" t="str">
        <f>VLOOKUP(Summary!M225,Summary!$P$42:$Q$43,2)</f>
        <v>86</v>
      </c>
      <c r="F215">
        <f>IF(LEFT(A215,3)="B60",20,IF(LEFT(A215,3)="B12",30,25))+B215*0.5+INT(Summary!M228*20)</f>
        <v>824</v>
      </c>
      <c r="G215">
        <f>ROUND(IF(OR(ISERROR(FIND(Summary!$P$89,CONCATENATE(C215,D215,E215))),ISERROR(FIND(Summary!$Q$89,A215))),Summary!$R$45,IF(H215&gt;Summary!$V$3,Summary!$R$46,Summary!$R$45))*(B215+30),0)</f>
        <v>16</v>
      </c>
      <c r="H215">
        <f>IF(H214&gt;Summary!$V$4,0,H214+F214)</f>
        <v>80910</v>
      </c>
      <c r="I215" s="26">
        <f>DATE(YEAR(Summary!$V$2),MONTH(Summary!$V$2),DAY(Summary!$V$2)+INT(H215/480))</f>
        <v>43758</v>
      </c>
      <c r="J215" s="27">
        <f t="shared" si="4"/>
        <v>0.52083333333333337</v>
      </c>
    </row>
    <row r="216" spans="1:10">
      <c r="A216" t="str">
        <f>VLOOKUP(Summary!M215,Summary!$P$13:$Q$24,2)</f>
        <v>B1200-plum</v>
      </c>
      <c r="B216">
        <f>ROUND(NORMINV(Summary!M217,VLOOKUP(A216,Summary!$Q$13:$S$24,3,FALSE),VLOOKUP(A216,Summary!$Q$13:$S$24,3,FALSE)/6),-1)</f>
        <v>550</v>
      </c>
      <c r="C216" t="str">
        <f>IF(AND(H216=0,C215=Summary!$P$2),Summary!$Q$2,IF(AND(H216=0,C215=Summary!$Q$2),Summary!$R$2,C215))</f>
        <v>Neesha</v>
      </c>
      <c r="D216" t="str">
        <f>IF(C216=Summary!$P$26,VLOOKUP(Summary!M223,Summary!$Q$26:$R$27,2),IF('Run Data'!C216=Summary!$P$28,VLOOKUP(Summary!M223,Summary!$Q$28:$R$29,2),VLOOKUP(Summary!M223,Summary!$Q$30:$R$32,2)))</f>
        <v>Sprig 1</v>
      </c>
      <c r="E216" t="str">
        <f>VLOOKUP(Summary!M226,Summary!$P$42:$Q$43,2)</f>
        <v>86</v>
      </c>
      <c r="F216">
        <f>IF(LEFT(A216,3)="B60",20,IF(LEFT(A216,3)="B12",30,25))+B216*0.5+INT(Summary!M229*20)</f>
        <v>311</v>
      </c>
      <c r="G216">
        <f>ROUND(IF(OR(ISERROR(FIND(Summary!$P$89,CONCATENATE(C216,D216,E216))),ISERROR(FIND(Summary!$Q$89,A216))),Summary!$R$45,IF(H216&gt;Summary!$V$3,Summary!$R$46,Summary!$R$45))*(B216+30),0)</f>
        <v>6</v>
      </c>
      <c r="H216">
        <f>IF(H215&gt;Summary!$V$4,0,H215+F215)</f>
        <v>81734</v>
      </c>
      <c r="I216" s="26">
        <f>DATE(YEAR(Summary!$V$2),MONTH(Summary!$V$2),DAY(Summary!$V$2)+INT(H216/480))</f>
        <v>43760</v>
      </c>
      <c r="J216" s="27">
        <f t="shared" si="4"/>
        <v>0.42638888888888887</v>
      </c>
    </row>
    <row r="217" spans="1:10">
      <c r="A217" t="str">
        <f>VLOOKUP(Summary!M216,Summary!$P$13:$Q$24,2)</f>
        <v>B1700-lime</v>
      </c>
      <c r="B217">
        <f>ROUND(NORMINV(Summary!M218,VLOOKUP(A217,Summary!$Q$13:$S$24,3,FALSE),VLOOKUP(A217,Summary!$Q$13:$S$24,3,FALSE)/6),-1)</f>
        <v>380</v>
      </c>
      <c r="C217" t="str">
        <f>IF(AND(H217=0,C216=Summary!$P$2),Summary!$Q$2,IF(AND(H217=0,C216=Summary!$Q$2),Summary!$R$2,C216))</f>
        <v>Neesha</v>
      </c>
      <c r="D217" t="str">
        <f>IF(C217=Summary!$P$26,VLOOKUP(Summary!M224,Summary!$Q$26:$R$27,2),IF('Run Data'!C217=Summary!$P$28,VLOOKUP(Summary!M224,Summary!$Q$28:$R$29,2),VLOOKUP(Summary!M224,Summary!$Q$30:$R$32,2)))</f>
        <v>Sprig 4</v>
      </c>
      <c r="E217" t="str">
        <f>VLOOKUP(Summary!M227,Summary!$P$42:$Q$43,2)</f>
        <v>86</v>
      </c>
      <c r="F217">
        <f>IF(LEFT(A217,3)="B60",20,IF(LEFT(A217,3)="B12",30,25))+B217*0.5+INT(Summary!M230*20)</f>
        <v>224</v>
      </c>
      <c r="G217">
        <f>ROUND(IF(OR(ISERROR(FIND(Summary!$P$89,CONCATENATE(C217,D217,E217))),ISERROR(FIND(Summary!$Q$89,A217))),Summary!$R$45,IF(H217&gt;Summary!$V$3,Summary!$R$46,Summary!$R$45))*(B217+30),0)</f>
        <v>49</v>
      </c>
      <c r="H217">
        <f>IF(H216&gt;Summary!$V$4,0,H216+F216)</f>
        <v>82045</v>
      </c>
      <c r="I217" s="26">
        <f>DATE(YEAR(Summary!$V$2),MONTH(Summary!$V$2),DAY(Summary!$V$2)+INT(H217/480))</f>
        <v>43760</v>
      </c>
      <c r="J217" s="27">
        <f t="shared" si="4"/>
        <v>0.64236111111111105</v>
      </c>
    </row>
    <row r="218" spans="1:10">
      <c r="A218" t="str">
        <f>VLOOKUP(Summary!M217,Summary!$P$13:$Q$24,2)</f>
        <v>B1700-lime</v>
      </c>
      <c r="B218">
        <f>ROUND(NORMINV(Summary!M219,VLOOKUP(A218,Summary!$Q$13:$S$24,3,FALSE),VLOOKUP(A218,Summary!$Q$13:$S$24,3,FALSE)/6),-1)</f>
        <v>430</v>
      </c>
      <c r="C218" t="str">
        <f>IF(AND(H218=0,C217=Summary!$P$2),Summary!$Q$2,IF(AND(H218=0,C217=Summary!$Q$2),Summary!$R$2,C217))</f>
        <v>Neesha</v>
      </c>
      <c r="D218" t="str">
        <f>IF(C218=Summary!$P$26,VLOOKUP(Summary!M225,Summary!$Q$26:$R$27,2),IF('Run Data'!C218=Summary!$P$28,VLOOKUP(Summary!M225,Summary!$Q$28:$R$29,2),VLOOKUP(Summary!M225,Summary!$Q$30:$R$32,2)))</f>
        <v>Sprig 1</v>
      </c>
      <c r="E218" t="str">
        <f>VLOOKUP(Summary!M228,Summary!$P$42:$Q$43,2)</f>
        <v>86</v>
      </c>
      <c r="F218">
        <f>IF(LEFT(A218,3)="B60",20,IF(LEFT(A218,3)="B12",30,25))+B218*0.5+INT(Summary!M231*20)</f>
        <v>251</v>
      </c>
      <c r="G218">
        <f>ROUND(IF(OR(ISERROR(FIND(Summary!$P$89,CONCATENATE(C218,D218,E218))),ISERROR(FIND(Summary!$Q$89,A218))),Summary!$R$45,IF(H218&gt;Summary!$V$3,Summary!$R$46,Summary!$R$45))*(B218+30),0)</f>
        <v>55</v>
      </c>
      <c r="H218">
        <f>IF(H217&gt;Summary!$V$4,0,H217+F217)</f>
        <v>82269</v>
      </c>
      <c r="I218" s="26">
        <f>DATE(YEAR(Summary!$V$2),MONTH(Summary!$V$2),DAY(Summary!$V$2)+INT(H218/480))</f>
        <v>43761</v>
      </c>
      <c r="J218" s="27">
        <f t="shared" si="4"/>
        <v>0.46458333333333335</v>
      </c>
    </row>
    <row r="219" spans="1:10">
      <c r="A219" t="str">
        <f>VLOOKUP(Summary!M218,Summary!$P$13:$Q$24,2)</f>
        <v>B1200-sky</v>
      </c>
      <c r="B219">
        <f>ROUND(NORMINV(Summary!M220,VLOOKUP(A219,Summary!$Q$13:$S$24,3,FALSE),VLOOKUP(A219,Summary!$Q$13:$S$24,3,FALSE)/6),-1)</f>
        <v>1100</v>
      </c>
      <c r="C219" t="str">
        <f>IF(AND(H219=0,C218=Summary!$P$2),Summary!$Q$2,IF(AND(H219=0,C218=Summary!$Q$2),Summary!$R$2,C218))</f>
        <v>Neesha</v>
      </c>
      <c r="D219" t="str">
        <f>IF(C219=Summary!$P$26,VLOOKUP(Summary!M226,Summary!$Q$26:$R$27,2),IF('Run Data'!C219=Summary!$P$28,VLOOKUP(Summary!M226,Summary!$Q$28:$R$29,2),VLOOKUP(Summary!M226,Summary!$Q$30:$R$32,2)))</f>
        <v>Sprig 1</v>
      </c>
      <c r="E219" t="str">
        <f>VLOOKUP(Summary!M229,Summary!$P$42:$Q$43,2)</f>
        <v>86</v>
      </c>
      <c r="F219">
        <f>IF(LEFT(A219,3)="B60",20,IF(LEFT(A219,3)="B12",30,25))+B219*0.5+INT(Summary!M232*20)</f>
        <v>599</v>
      </c>
      <c r="G219">
        <f>ROUND(IF(OR(ISERROR(FIND(Summary!$P$89,CONCATENATE(C219,D219,E219))),ISERROR(FIND(Summary!$Q$89,A219))),Summary!$R$45,IF(H219&gt;Summary!$V$3,Summary!$R$46,Summary!$R$45))*(B219+30),0)</f>
        <v>11</v>
      </c>
      <c r="H219">
        <f>IF(H218&gt;Summary!$V$4,0,H218+F218)</f>
        <v>82520</v>
      </c>
      <c r="I219" s="26">
        <f>DATE(YEAR(Summary!$V$2),MONTH(Summary!$V$2),DAY(Summary!$V$2)+INT(H219/480))</f>
        <v>43761</v>
      </c>
      <c r="J219" s="27">
        <f t="shared" si="4"/>
        <v>0.63888888888888895</v>
      </c>
    </row>
    <row r="220" spans="1:10">
      <c r="A220" t="str">
        <f>VLOOKUP(Summary!M219,Summary!$P$13:$Q$24,2)</f>
        <v>B1200-lime</v>
      </c>
      <c r="B220">
        <f>ROUND(NORMINV(Summary!M221,VLOOKUP(A220,Summary!$Q$13:$S$24,3,FALSE),VLOOKUP(A220,Summary!$Q$13:$S$24,3,FALSE)/6),-1)</f>
        <v>740</v>
      </c>
      <c r="C220" t="str">
        <f>IF(AND(H220=0,C219=Summary!$P$2),Summary!$Q$2,IF(AND(H220=0,C219=Summary!$Q$2),Summary!$R$2,C219))</f>
        <v>Neesha</v>
      </c>
      <c r="D220" t="str">
        <f>IF(C220=Summary!$P$26,VLOOKUP(Summary!M227,Summary!$Q$26:$R$27,2),IF('Run Data'!C220=Summary!$P$28,VLOOKUP(Summary!M227,Summary!$Q$28:$R$29,2),VLOOKUP(Summary!M227,Summary!$Q$30:$R$32,2)))</f>
        <v>Sprig 1</v>
      </c>
      <c r="E220" t="str">
        <f>VLOOKUP(Summary!M230,Summary!$P$42:$Q$43,2)</f>
        <v>86</v>
      </c>
      <c r="F220">
        <f>IF(LEFT(A220,3)="B60",20,IF(LEFT(A220,3)="B12",30,25))+B220*0.5+INT(Summary!M233*20)</f>
        <v>415</v>
      </c>
      <c r="G220">
        <f>ROUND(IF(OR(ISERROR(FIND(Summary!$P$89,CONCATENATE(C220,D220,E220))),ISERROR(FIND(Summary!$Q$89,A220))),Summary!$R$45,IF(H220&gt;Summary!$V$3,Summary!$R$46,Summary!$R$45))*(B220+30),0)</f>
        <v>8</v>
      </c>
      <c r="H220">
        <f>IF(H219&gt;Summary!$V$4,0,H219+F219)</f>
        <v>83119</v>
      </c>
      <c r="I220" s="26">
        <f>DATE(YEAR(Summary!$V$2),MONTH(Summary!$V$2),DAY(Summary!$V$2)+INT(H220/480))</f>
        <v>43763</v>
      </c>
      <c r="J220" s="27">
        <f t="shared" si="4"/>
        <v>0.38819444444444445</v>
      </c>
    </row>
    <row r="221" spans="1:10">
      <c r="A221" t="str">
        <f>VLOOKUP(Summary!M220,Summary!$P$13:$Q$24,2)</f>
        <v>B1200-plum</v>
      </c>
      <c r="B221">
        <f>ROUND(NORMINV(Summary!M222,VLOOKUP(A221,Summary!$Q$13:$S$24,3,FALSE),VLOOKUP(A221,Summary!$Q$13:$S$24,3,FALSE)/6),-1)</f>
        <v>440</v>
      </c>
      <c r="C221" t="str">
        <f>IF(AND(H221=0,C220=Summary!$P$2),Summary!$Q$2,IF(AND(H221=0,C220=Summary!$Q$2),Summary!$R$2,C220))</f>
        <v>Neesha</v>
      </c>
      <c r="D221" t="str">
        <f>IF(C221=Summary!$P$26,VLOOKUP(Summary!M228,Summary!$Q$26:$R$27,2),IF('Run Data'!C221=Summary!$P$28,VLOOKUP(Summary!M228,Summary!$Q$28:$R$29,2),VLOOKUP(Summary!M228,Summary!$Q$30:$R$32,2)))</f>
        <v>Sprig 1</v>
      </c>
      <c r="E221" t="str">
        <f>VLOOKUP(Summary!M231,Summary!$P$42:$Q$43,2)</f>
        <v>86</v>
      </c>
      <c r="F221">
        <f>IF(LEFT(A221,3)="B60",20,IF(LEFT(A221,3)="B12",30,25))+B221*0.5+INT(Summary!M234*20)</f>
        <v>265</v>
      </c>
      <c r="G221">
        <f>ROUND(IF(OR(ISERROR(FIND(Summary!$P$89,CONCATENATE(C221,D221,E221))),ISERROR(FIND(Summary!$Q$89,A221))),Summary!$R$45,IF(H221&gt;Summary!$V$3,Summary!$R$46,Summary!$R$45))*(B221+30),0)</f>
        <v>5</v>
      </c>
      <c r="H221">
        <f>IF(H220&gt;Summary!$V$4,0,H220+F220)</f>
        <v>83534</v>
      </c>
      <c r="I221" s="26">
        <f>DATE(YEAR(Summary!$V$2),MONTH(Summary!$V$2),DAY(Summary!$V$2)+INT(H221/480))</f>
        <v>43764</v>
      </c>
      <c r="J221" s="27">
        <f t="shared" si="4"/>
        <v>0.3430555555555555</v>
      </c>
    </row>
    <row r="222" spans="1:10">
      <c r="A222" t="str">
        <f>VLOOKUP(Summary!M221,Summary!$P$13:$Q$24,2)</f>
        <v>B1200-sky</v>
      </c>
      <c r="B222">
        <f>ROUND(NORMINV(Summary!M223,VLOOKUP(A222,Summary!$Q$13:$S$24,3,FALSE),VLOOKUP(A222,Summary!$Q$13:$S$24,3,FALSE)/6),-1)</f>
        <v>1210</v>
      </c>
      <c r="C222" t="str">
        <f>IF(AND(H222=0,C221=Summary!$P$2),Summary!$Q$2,IF(AND(H222=0,C221=Summary!$Q$2),Summary!$R$2,C221))</f>
        <v>Neesha</v>
      </c>
      <c r="D222" t="str">
        <f>IF(C222=Summary!$P$26,VLOOKUP(Summary!M229,Summary!$Q$26:$R$27,2),IF('Run Data'!C222=Summary!$P$28,VLOOKUP(Summary!M229,Summary!$Q$28:$R$29,2),VLOOKUP(Summary!M229,Summary!$Q$30:$R$32,2)))</f>
        <v>Sprig 1</v>
      </c>
      <c r="E222" t="str">
        <f>VLOOKUP(Summary!M232,Summary!$P$42:$Q$43,2)</f>
        <v>87b</v>
      </c>
      <c r="F222">
        <f>IF(LEFT(A222,3)="B60",20,IF(LEFT(A222,3)="B12",30,25))+B222*0.5+INT(Summary!M235*20)</f>
        <v>647</v>
      </c>
      <c r="G222">
        <f>ROUND(IF(OR(ISERROR(FIND(Summary!$P$89,CONCATENATE(C222,D222,E222))),ISERROR(FIND(Summary!$Q$89,A222))),Summary!$R$45,IF(H222&gt;Summary!$V$3,Summary!$R$46,Summary!$R$45))*(B222+30),0)</f>
        <v>12</v>
      </c>
      <c r="H222">
        <f>IF(H221&gt;Summary!$V$4,0,H221+F221)</f>
        <v>83799</v>
      </c>
      <c r="I222" s="26">
        <f>DATE(YEAR(Summary!$V$2),MONTH(Summary!$V$2),DAY(Summary!$V$2)+INT(H222/480))</f>
        <v>43764</v>
      </c>
      <c r="J222" s="27">
        <f t="shared" si="4"/>
        <v>0.52708333333333335</v>
      </c>
    </row>
    <row r="223" spans="1:10">
      <c r="A223" t="str">
        <f>VLOOKUP(Summary!M222,Summary!$P$13:$Q$24,2)</f>
        <v>B1200-fire</v>
      </c>
      <c r="B223">
        <f>ROUND(NORMINV(Summary!M224,VLOOKUP(A223,Summary!$Q$13:$S$24,3,FALSE),VLOOKUP(A223,Summary!$Q$13:$S$24,3,FALSE)/6),-1)</f>
        <v>1500</v>
      </c>
      <c r="C223" t="str">
        <f>IF(AND(H223=0,C222=Summary!$P$2),Summary!$Q$2,IF(AND(H223=0,C222=Summary!$Q$2),Summary!$R$2,C222))</f>
        <v>Neesha</v>
      </c>
      <c r="D223" t="str">
        <f>IF(C223=Summary!$P$26,VLOOKUP(Summary!M230,Summary!$Q$26:$R$27,2),IF('Run Data'!C223=Summary!$P$28,VLOOKUP(Summary!M230,Summary!$Q$28:$R$29,2),VLOOKUP(Summary!M230,Summary!$Q$30:$R$32,2)))</f>
        <v>Sprig 1</v>
      </c>
      <c r="E223" t="str">
        <f>VLOOKUP(Summary!M233,Summary!$P$42:$Q$43,2)</f>
        <v>86</v>
      </c>
      <c r="F223">
        <f>IF(LEFT(A223,3)="B60",20,IF(LEFT(A223,3)="B12",30,25))+B223*0.5+INT(Summary!M236*20)</f>
        <v>795</v>
      </c>
      <c r="G223">
        <f>ROUND(IF(OR(ISERROR(FIND(Summary!$P$89,CONCATENATE(C223,D223,E223))),ISERROR(FIND(Summary!$Q$89,A223))),Summary!$R$45,IF(H223&gt;Summary!$V$3,Summary!$R$46,Summary!$R$45))*(B223+30),0)</f>
        <v>15</v>
      </c>
      <c r="H223">
        <f>IF(H222&gt;Summary!$V$4,0,H222+F222)</f>
        <v>84446</v>
      </c>
      <c r="I223" s="26">
        <f>DATE(YEAR(Summary!$V$2),MONTH(Summary!$V$2),DAY(Summary!$V$2)+INT(H223/480))</f>
        <v>43765</v>
      </c>
      <c r="J223" s="27">
        <f t="shared" si="4"/>
        <v>0.6430555555555556</v>
      </c>
    </row>
    <row r="224" spans="1:10">
      <c r="A224" t="str">
        <f>VLOOKUP(Summary!M223,Summary!$P$13:$Q$24,2)</f>
        <v>B1200-fire</v>
      </c>
      <c r="B224">
        <f>ROUND(NORMINV(Summary!M225,VLOOKUP(A224,Summary!$Q$13:$S$24,3,FALSE),VLOOKUP(A224,Summary!$Q$13:$S$24,3,FALSE)/6),-1)</f>
        <v>1300</v>
      </c>
      <c r="C224" t="str">
        <f>IF(AND(H224=0,C223=Summary!$P$2),Summary!$Q$2,IF(AND(H224=0,C223=Summary!$Q$2),Summary!$R$2,C223))</f>
        <v>Neesha</v>
      </c>
      <c r="D224" t="str">
        <f>IF(C224=Summary!$P$26,VLOOKUP(Summary!M231,Summary!$Q$26:$R$27,2),IF('Run Data'!C224=Summary!$P$28,VLOOKUP(Summary!M231,Summary!$Q$28:$R$29,2),VLOOKUP(Summary!M231,Summary!$Q$30:$R$32,2)))</f>
        <v>Sprig 1</v>
      </c>
      <c r="E224" t="str">
        <f>VLOOKUP(Summary!M234,Summary!$P$42:$Q$43,2)</f>
        <v>86</v>
      </c>
      <c r="F224">
        <f>IF(LEFT(A224,3)="B60",20,IF(LEFT(A224,3)="B12",30,25))+B224*0.5+INT(Summary!M237*20)</f>
        <v>680</v>
      </c>
      <c r="G224">
        <f>ROUND(IF(OR(ISERROR(FIND(Summary!$P$89,CONCATENATE(C224,D224,E224))),ISERROR(FIND(Summary!$Q$89,A224))),Summary!$R$45,IF(H224&gt;Summary!$V$3,Summary!$R$46,Summary!$R$45))*(B224+30),0)</f>
        <v>13</v>
      </c>
      <c r="H224">
        <f>IF(H223&gt;Summary!$V$4,0,H223+F223)</f>
        <v>85241</v>
      </c>
      <c r="I224" s="26">
        <f>DATE(YEAR(Summary!$V$2),MONTH(Summary!$V$2),DAY(Summary!$V$2)+INT(H224/480))</f>
        <v>43767</v>
      </c>
      <c r="J224" s="27">
        <f t="shared" si="4"/>
        <v>0.52847222222222223</v>
      </c>
    </row>
    <row r="225" spans="1:10">
      <c r="A225" t="str">
        <f>VLOOKUP(Summary!M224,Summary!$P$13:$Q$24,2)</f>
        <v>B1700-lime</v>
      </c>
      <c r="B225">
        <f>ROUND(NORMINV(Summary!M226,VLOOKUP(A225,Summary!$Q$13:$S$24,3,FALSE),VLOOKUP(A225,Summary!$Q$13:$S$24,3,FALSE)/6),-1)</f>
        <v>310</v>
      </c>
      <c r="C225" t="str">
        <f>IF(AND(H225=0,C224=Summary!$P$2),Summary!$Q$2,IF(AND(H225=0,C224=Summary!$Q$2),Summary!$R$2,C224))</f>
        <v>Neesha</v>
      </c>
      <c r="D225" t="str">
        <f>IF(C225=Summary!$P$26,VLOOKUP(Summary!M232,Summary!$Q$26:$R$27,2),IF('Run Data'!C225=Summary!$P$28,VLOOKUP(Summary!M232,Summary!$Q$28:$R$29,2),VLOOKUP(Summary!M232,Summary!$Q$30:$R$32,2)))</f>
        <v>Sprig 4</v>
      </c>
      <c r="E225" t="str">
        <f>VLOOKUP(Summary!M235,Summary!$P$42:$Q$43,2)</f>
        <v>86</v>
      </c>
      <c r="F225">
        <f>IF(LEFT(A225,3)="B60",20,IF(LEFT(A225,3)="B12",30,25))+B225*0.5+INT(Summary!M238*20)</f>
        <v>193</v>
      </c>
      <c r="G225">
        <f>ROUND(IF(OR(ISERROR(FIND(Summary!$P$89,CONCATENATE(C225,D225,E225))),ISERROR(FIND(Summary!$Q$89,A225))),Summary!$R$45,IF(H225&gt;Summary!$V$3,Summary!$R$46,Summary!$R$45))*(B225+30),0)</f>
        <v>41</v>
      </c>
      <c r="H225">
        <f>IF(H224&gt;Summary!$V$4,0,H224+F224)</f>
        <v>85921</v>
      </c>
      <c r="I225" s="26">
        <f>DATE(YEAR(Summary!$V$2),MONTH(Summary!$V$2),DAY(Summary!$V$2)+INT(H225/480))</f>
        <v>43769</v>
      </c>
      <c r="J225" s="27">
        <f t="shared" si="4"/>
        <v>0.33402777777777781</v>
      </c>
    </row>
    <row r="226" spans="1:10">
      <c r="A226" t="str">
        <f>VLOOKUP(Summary!M225,Summary!$P$13:$Q$24,2)</f>
        <v>B1200-lime</v>
      </c>
      <c r="B226">
        <f>ROUND(NORMINV(Summary!M227,VLOOKUP(A226,Summary!$Q$13:$S$24,3,FALSE),VLOOKUP(A226,Summary!$Q$13:$S$24,3,FALSE)/6),-1)</f>
        <v>790</v>
      </c>
      <c r="C226" t="str">
        <f>IF(AND(H226=0,C225=Summary!$P$2),Summary!$Q$2,IF(AND(H226=0,C225=Summary!$Q$2),Summary!$R$2,C225))</f>
        <v>Neesha</v>
      </c>
      <c r="D226" t="str">
        <f>IF(C226=Summary!$P$26,VLOOKUP(Summary!M233,Summary!$Q$26:$R$27,2),IF('Run Data'!C226=Summary!$P$28,VLOOKUP(Summary!M233,Summary!$Q$28:$R$29,2),VLOOKUP(Summary!M233,Summary!$Q$30:$R$32,2)))</f>
        <v>Sprig 4</v>
      </c>
      <c r="E226" t="str">
        <f>VLOOKUP(Summary!M236,Summary!$P$42:$Q$43,2)</f>
        <v>86</v>
      </c>
      <c r="F226">
        <f>IF(LEFT(A226,3)="B60",20,IF(LEFT(A226,3)="B12",30,25))+B226*0.5+INT(Summary!M239*20)</f>
        <v>427</v>
      </c>
      <c r="G226">
        <f>ROUND(IF(OR(ISERROR(FIND(Summary!$P$89,CONCATENATE(C226,D226,E226))),ISERROR(FIND(Summary!$Q$89,A226))),Summary!$R$45,IF(H226&gt;Summary!$V$3,Summary!$R$46,Summary!$R$45))*(B226+30),0)</f>
        <v>8</v>
      </c>
      <c r="H226">
        <f>IF(H225&gt;Summary!$V$4,0,H225+F225)</f>
        <v>86114</v>
      </c>
      <c r="I226" s="26">
        <f>DATE(YEAR(Summary!$V$2),MONTH(Summary!$V$2),DAY(Summary!$V$2)+INT(H226/480))</f>
        <v>43769</v>
      </c>
      <c r="J226" s="27">
        <f t="shared" si="4"/>
        <v>0.4680555555555555</v>
      </c>
    </row>
    <row r="227" spans="1:10">
      <c r="A227" t="str">
        <f>VLOOKUP(Summary!M226,Summary!$P$13:$Q$24,2)</f>
        <v>B600-sky</v>
      </c>
      <c r="B227">
        <f>ROUND(NORMINV(Summary!M228,VLOOKUP(A227,Summary!$Q$13:$S$24,3,FALSE),VLOOKUP(A227,Summary!$Q$13:$S$24,3,FALSE)/6),-1)</f>
        <v>490</v>
      </c>
      <c r="C227" t="str">
        <f>IF(AND(H227=0,C226=Summary!$P$2),Summary!$Q$2,IF(AND(H227=0,C226=Summary!$Q$2),Summary!$R$2,C226))</f>
        <v>Neesha</v>
      </c>
      <c r="D227" t="str">
        <f>IF(C227=Summary!$P$26,VLOOKUP(Summary!M234,Summary!$Q$26:$R$27,2),IF('Run Data'!C227=Summary!$P$28,VLOOKUP(Summary!M234,Summary!$Q$28:$R$29,2),VLOOKUP(Summary!M234,Summary!$Q$30:$R$32,2)))</f>
        <v>Sprig 4</v>
      </c>
      <c r="E227" t="str">
        <f>VLOOKUP(Summary!M237,Summary!$P$42:$Q$43,2)</f>
        <v>86</v>
      </c>
      <c r="F227">
        <f>IF(LEFT(A227,3)="B60",20,IF(LEFT(A227,3)="B12",30,25))+B227*0.5+INT(Summary!M240*20)</f>
        <v>267</v>
      </c>
      <c r="G227">
        <f>ROUND(IF(OR(ISERROR(FIND(Summary!$P$89,CONCATENATE(C227,D227,E227))),ISERROR(FIND(Summary!$Q$89,A227))),Summary!$R$45,IF(H227&gt;Summary!$V$3,Summary!$R$46,Summary!$R$45))*(B227+30),0)</f>
        <v>5</v>
      </c>
      <c r="H227">
        <f>IF(H226&gt;Summary!$V$4,0,H226+F226)</f>
        <v>86541</v>
      </c>
      <c r="I227" s="26">
        <f>DATE(YEAR(Summary!$V$2),MONTH(Summary!$V$2),DAY(Summary!$V$2)+INT(H227/480))</f>
        <v>43770</v>
      </c>
      <c r="J227" s="27">
        <f t="shared" si="4"/>
        <v>0.43124999999999997</v>
      </c>
    </row>
    <row r="228" spans="1:10">
      <c r="A228" t="str">
        <f>VLOOKUP(Summary!M227,Summary!$P$13:$Q$24,2)</f>
        <v>B1200-fire</v>
      </c>
      <c r="B228">
        <f>ROUND(NORMINV(Summary!M229,VLOOKUP(A228,Summary!$Q$13:$S$24,3,FALSE),VLOOKUP(A228,Summary!$Q$13:$S$24,3,FALSE)/6),-1)</f>
        <v>1110</v>
      </c>
      <c r="C228" t="str">
        <f>IF(AND(H228=0,C227=Summary!$P$2),Summary!$Q$2,IF(AND(H228=0,C227=Summary!$Q$2),Summary!$R$2,C227))</f>
        <v>Neesha</v>
      </c>
      <c r="D228" t="str">
        <f>IF(C228=Summary!$P$26,VLOOKUP(Summary!M235,Summary!$Q$26:$R$27,2),IF('Run Data'!C228=Summary!$P$28,VLOOKUP(Summary!M235,Summary!$Q$28:$R$29,2),VLOOKUP(Summary!M235,Summary!$Q$30:$R$32,2)))</f>
        <v>Sprig 1</v>
      </c>
      <c r="E228" t="str">
        <f>VLOOKUP(Summary!M238,Summary!$P$42:$Q$43,2)</f>
        <v>86</v>
      </c>
      <c r="F228">
        <f>IF(LEFT(A228,3)="B60",20,IF(LEFT(A228,3)="B12",30,25))+B228*0.5+INT(Summary!M241*20)</f>
        <v>602</v>
      </c>
      <c r="G228">
        <f>ROUND(IF(OR(ISERROR(FIND(Summary!$P$89,CONCATENATE(C228,D228,E228))),ISERROR(FIND(Summary!$Q$89,A228))),Summary!$R$45,IF(H228&gt;Summary!$V$3,Summary!$R$46,Summary!$R$45))*(B228+30),0)</f>
        <v>11</v>
      </c>
      <c r="H228">
        <f>IF(H227&gt;Summary!$V$4,0,H227+F227)</f>
        <v>86808</v>
      </c>
      <c r="I228" s="26">
        <f>DATE(YEAR(Summary!$V$2),MONTH(Summary!$V$2),DAY(Summary!$V$2)+INT(H228/480))</f>
        <v>43770</v>
      </c>
      <c r="J228" s="27">
        <f t="shared" si="4"/>
        <v>0.6166666666666667</v>
      </c>
    </row>
    <row r="229" spans="1:10">
      <c r="A229" t="str">
        <f>VLOOKUP(Summary!M228,Summary!$P$13:$Q$24,2)</f>
        <v>B1200-fire</v>
      </c>
      <c r="B229">
        <f>ROUND(NORMINV(Summary!M230,VLOOKUP(A229,Summary!$Q$13:$S$24,3,FALSE),VLOOKUP(A229,Summary!$Q$13:$S$24,3,FALSE)/6),-1)</f>
        <v>1180</v>
      </c>
      <c r="C229" t="str">
        <f>IF(AND(H229=0,C228=Summary!$P$2),Summary!$Q$2,IF(AND(H229=0,C228=Summary!$Q$2),Summary!$R$2,C228))</f>
        <v>Neesha</v>
      </c>
      <c r="D229" t="str">
        <f>IF(C229=Summary!$P$26,VLOOKUP(Summary!M236,Summary!$Q$26:$R$27,2),IF('Run Data'!C229=Summary!$P$28,VLOOKUP(Summary!M236,Summary!$Q$28:$R$29,2),VLOOKUP(Summary!M236,Summary!$Q$30:$R$32,2)))</f>
        <v>Sprig 4</v>
      </c>
      <c r="E229" t="str">
        <f>VLOOKUP(Summary!M239,Summary!$P$42:$Q$43,2)</f>
        <v>86</v>
      </c>
      <c r="F229">
        <f>IF(LEFT(A229,3)="B60",20,IF(LEFT(A229,3)="B12",30,25))+B229*0.5+INT(Summary!M242*20)</f>
        <v>632</v>
      </c>
      <c r="G229">
        <f>ROUND(IF(OR(ISERROR(FIND(Summary!$P$89,CONCATENATE(C229,D229,E229))),ISERROR(FIND(Summary!$Q$89,A229))),Summary!$R$45,IF(H229&gt;Summary!$V$3,Summary!$R$46,Summary!$R$45))*(B229+30),0)</f>
        <v>12</v>
      </c>
      <c r="H229">
        <f>IF(H228&gt;Summary!$V$4,0,H228+F228)</f>
        <v>87410</v>
      </c>
      <c r="I229" s="26">
        <f>DATE(YEAR(Summary!$V$2),MONTH(Summary!$V$2),DAY(Summary!$V$2)+INT(H229/480))</f>
        <v>43772</v>
      </c>
      <c r="J229" s="27">
        <f t="shared" si="4"/>
        <v>0.36805555555555558</v>
      </c>
    </row>
    <row r="230" spans="1:10">
      <c r="A230" t="str">
        <f>VLOOKUP(Summary!M229,Summary!$P$13:$Q$24,2)</f>
        <v>B1200-sky</v>
      </c>
      <c r="B230">
        <f>ROUND(NORMINV(Summary!M231,VLOOKUP(A230,Summary!$Q$13:$S$24,3,FALSE),VLOOKUP(A230,Summary!$Q$13:$S$24,3,FALSE)/6),-1)</f>
        <v>1240</v>
      </c>
      <c r="C230" t="str">
        <f>IF(AND(H230=0,C229=Summary!$P$2),Summary!$Q$2,IF(AND(H230=0,C229=Summary!$Q$2),Summary!$R$2,C229))</f>
        <v>Neesha</v>
      </c>
      <c r="D230" t="str">
        <f>IF(C230=Summary!$P$26,VLOOKUP(Summary!M237,Summary!$Q$26:$R$27,2),IF('Run Data'!C230=Summary!$P$28,VLOOKUP(Summary!M237,Summary!$Q$28:$R$29,2),VLOOKUP(Summary!M237,Summary!$Q$30:$R$32,2)))</f>
        <v>Sprig 1</v>
      </c>
      <c r="E230" t="str">
        <f>VLOOKUP(Summary!M240,Summary!$P$42:$Q$43,2)</f>
        <v>86</v>
      </c>
      <c r="F230">
        <f>IF(LEFT(A230,3)="B60",20,IF(LEFT(A230,3)="B12",30,25))+B230*0.5+INT(Summary!M243*20)</f>
        <v>666</v>
      </c>
      <c r="G230">
        <f>ROUND(IF(OR(ISERROR(FIND(Summary!$P$89,CONCATENATE(C230,D230,E230))),ISERROR(FIND(Summary!$Q$89,A230))),Summary!$R$45,IF(H230&gt;Summary!$V$3,Summary!$R$46,Summary!$R$45))*(B230+30),0)</f>
        <v>13</v>
      </c>
      <c r="H230">
        <f>IF(H229&gt;Summary!$V$4,0,H229+F229)</f>
        <v>88042</v>
      </c>
      <c r="I230" s="26">
        <f>DATE(YEAR(Summary!$V$2),MONTH(Summary!$V$2),DAY(Summary!$V$2)+INT(H230/480))</f>
        <v>43773</v>
      </c>
      <c r="J230" s="27">
        <f t="shared" si="4"/>
        <v>0.47361111111111115</v>
      </c>
    </row>
    <row r="231" spans="1:10">
      <c r="A231" t="str">
        <f>VLOOKUP(Summary!M230,Summary!$P$13:$Q$24,2)</f>
        <v>B1200-fire</v>
      </c>
      <c r="B231">
        <f>ROUND(NORMINV(Summary!M232,VLOOKUP(A231,Summary!$Q$13:$S$24,3,FALSE),VLOOKUP(A231,Summary!$Q$13:$S$24,3,FALSE)/6),-1)</f>
        <v>1660</v>
      </c>
      <c r="C231" t="str">
        <f>IF(AND(H231=0,C230=Summary!$P$2),Summary!$Q$2,IF(AND(H231=0,C230=Summary!$Q$2),Summary!$R$2,C230))</f>
        <v>Neesha</v>
      </c>
      <c r="D231" t="str">
        <f>IF(C231=Summary!$P$26,VLOOKUP(Summary!M238,Summary!$Q$26:$R$27,2),IF('Run Data'!C231=Summary!$P$28,VLOOKUP(Summary!M238,Summary!$Q$28:$R$29,2),VLOOKUP(Summary!M238,Summary!$Q$30:$R$32,2)))</f>
        <v>Sprig 1</v>
      </c>
      <c r="E231" t="str">
        <f>VLOOKUP(Summary!M241,Summary!$P$42:$Q$43,2)</f>
        <v>87b</v>
      </c>
      <c r="F231">
        <f>IF(LEFT(A231,3)="B60",20,IF(LEFT(A231,3)="B12",30,25))+B231*0.5+INT(Summary!M244*20)</f>
        <v>877</v>
      </c>
      <c r="G231">
        <f>ROUND(IF(OR(ISERROR(FIND(Summary!$P$89,CONCATENATE(C231,D231,E231))),ISERROR(FIND(Summary!$Q$89,A231))),Summary!$R$45,IF(H231&gt;Summary!$V$3,Summary!$R$46,Summary!$R$45))*(B231+30),0)</f>
        <v>17</v>
      </c>
      <c r="H231">
        <f>IF(H230&gt;Summary!$V$4,0,H230+F230)</f>
        <v>88708</v>
      </c>
      <c r="I231" s="26">
        <f>DATE(YEAR(Summary!$V$2),MONTH(Summary!$V$2),DAY(Summary!$V$2)+INT(H231/480))</f>
        <v>43774</v>
      </c>
      <c r="J231" s="27">
        <f t="shared" si="4"/>
        <v>0.60277777777777775</v>
      </c>
    </row>
    <row r="232" spans="1:10">
      <c r="A232" t="str">
        <f>VLOOKUP(Summary!M231,Summary!$P$13:$Q$24,2)</f>
        <v>B1200-lime</v>
      </c>
      <c r="B232">
        <f>ROUND(NORMINV(Summary!M233,VLOOKUP(A232,Summary!$Q$13:$S$24,3,FALSE),VLOOKUP(A232,Summary!$Q$13:$S$24,3,FALSE)/6),-1)</f>
        <v>900</v>
      </c>
      <c r="C232" t="str">
        <f>IF(AND(H232=0,C231=Summary!$P$2),Summary!$Q$2,IF(AND(H232=0,C231=Summary!$Q$2),Summary!$R$2,C231))</f>
        <v>Neesha</v>
      </c>
      <c r="D232" t="str">
        <f>IF(C232=Summary!$P$26,VLOOKUP(Summary!M239,Summary!$Q$26:$R$27,2),IF('Run Data'!C232=Summary!$P$28,VLOOKUP(Summary!M239,Summary!$Q$28:$R$29,2),VLOOKUP(Summary!M239,Summary!$Q$30:$R$32,2)))</f>
        <v>Sprig 1</v>
      </c>
      <c r="E232" t="str">
        <f>VLOOKUP(Summary!M242,Summary!$P$42:$Q$43,2)</f>
        <v>86</v>
      </c>
      <c r="F232">
        <f>IF(LEFT(A232,3)="B60",20,IF(LEFT(A232,3)="B12",30,25))+B232*0.5+INT(Summary!M245*20)</f>
        <v>496</v>
      </c>
      <c r="G232">
        <f>ROUND(IF(OR(ISERROR(FIND(Summary!$P$89,CONCATENATE(C232,D232,E232))),ISERROR(FIND(Summary!$Q$89,A232))),Summary!$R$45,IF(H232&gt;Summary!$V$3,Summary!$R$46,Summary!$R$45))*(B232+30),0)</f>
        <v>9</v>
      </c>
      <c r="H232">
        <f>IF(H231&gt;Summary!$V$4,0,H231+F231)</f>
        <v>89585</v>
      </c>
      <c r="I232" s="26">
        <f>DATE(YEAR(Summary!$V$2),MONTH(Summary!$V$2),DAY(Summary!$V$2)+INT(H232/480))</f>
        <v>43776</v>
      </c>
      <c r="J232" s="27">
        <f t="shared" si="4"/>
        <v>0.54513888888888895</v>
      </c>
    </row>
    <row r="233" spans="1:10">
      <c r="A233" t="str">
        <f>VLOOKUP(Summary!M232,Summary!$P$13:$Q$24,2)</f>
        <v>B1700-lime</v>
      </c>
      <c r="B233">
        <f>ROUND(NORMINV(Summary!M234,VLOOKUP(A233,Summary!$Q$13:$S$24,3,FALSE),VLOOKUP(A233,Summary!$Q$13:$S$24,3,FALSE)/6),-1)</f>
        <v>450</v>
      </c>
      <c r="C233" t="str">
        <f>IF(AND(H233=0,C232=Summary!$P$2),Summary!$Q$2,IF(AND(H233=0,C232=Summary!$Q$2),Summary!$R$2,C232))</f>
        <v>Neesha</v>
      </c>
      <c r="D233" t="str">
        <f>IF(C233=Summary!$P$26,VLOOKUP(Summary!M240,Summary!$Q$26:$R$27,2),IF('Run Data'!C233=Summary!$P$28,VLOOKUP(Summary!M240,Summary!$Q$28:$R$29,2),VLOOKUP(Summary!M240,Summary!$Q$30:$R$32,2)))</f>
        <v>Sprig 1</v>
      </c>
      <c r="E233" t="str">
        <f>VLOOKUP(Summary!M243,Summary!$P$42:$Q$43,2)</f>
        <v>86</v>
      </c>
      <c r="F233">
        <f>IF(LEFT(A233,3)="B60",20,IF(LEFT(A233,3)="B12",30,25))+B233*0.5+INT(Summary!M246*20)</f>
        <v>269</v>
      </c>
      <c r="G233">
        <f>ROUND(IF(OR(ISERROR(FIND(Summary!$P$89,CONCATENATE(C233,D233,E233))),ISERROR(FIND(Summary!$Q$89,A233))),Summary!$R$45,IF(H233&gt;Summary!$V$3,Summary!$R$46,Summary!$R$45))*(B233+30),0)</f>
        <v>58</v>
      </c>
      <c r="H233">
        <f>IF(H232&gt;Summary!$V$4,0,H232+F232)</f>
        <v>90081</v>
      </c>
      <c r="I233" s="26">
        <f>DATE(YEAR(Summary!$V$2),MONTH(Summary!$V$2),DAY(Summary!$V$2)+INT(H233/480))</f>
        <v>43777</v>
      </c>
      <c r="J233" s="27">
        <f t="shared" si="4"/>
        <v>0.55625000000000002</v>
      </c>
    </row>
    <row r="234" spans="1:10">
      <c r="A234" t="str">
        <f>VLOOKUP(Summary!M233,Summary!$P$13:$Q$24,2)</f>
        <v>B1700-sky</v>
      </c>
      <c r="B234">
        <f>ROUND(NORMINV(Summary!M235,VLOOKUP(A234,Summary!$Q$13:$S$24,3,FALSE),VLOOKUP(A234,Summary!$Q$13:$S$24,3,FALSE)/6),-1)</f>
        <v>580</v>
      </c>
      <c r="C234" t="str">
        <f>IF(AND(H234=0,C233=Summary!$P$2),Summary!$Q$2,IF(AND(H234=0,C233=Summary!$Q$2),Summary!$R$2,C233))</f>
        <v>Neesha</v>
      </c>
      <c r="D234" t="str">
        <f>IF(C234=Summary!$P$26,VLOOKUP(Summary!M241,Summary!$Q$26:$R$27,2),IF('Run Data'!C234=Summary!$P$28,VLOOKUP(Summary!M241,Summary!$Q$28:$R$29,2),VLOOKUP(Summary!M241,Summary!$Q$30:$R$32,2)))</f>
        <v>Sprig 4</v>
      </c>
      <c r="E234" t="str">
        <f>VLOOKUP(Summary!M244,Summary!$P$42:$Q$43,2)</f>
        <v>87b</v>
      </c>
      <c r="F234">
        <f>IF(LEFT(A234,3)="B60",20,IF(LEFT(A234,3)="B12",30,25))+B234*0.5+INT(Summary!M247*20)</f>
        <v>334</v>
      </c>
      <c r="G234">
        <f>ROUND(IF(OR(ISERROR(FIND(Summary!$P$89,CONCATENATE(C234,D234,E234))),ISERROR(FIND(Summary!$Q$89,A234))),Summary!$R$45,IF(H234&gt;Summary!$V$3,Summary!$R$46,Summary!$R$45))*(B234+30),0)</f>
        <v>6</v>
      </c>
      <c r="H234">
        <f>IF(H233&gt;Summary!$V$4,0,H233+F233)</f>
        <v>90350</v>
      </c>
      <c r="I234" s="26">
        <f>DATE(YEAR(Summary!$V$2),MONTH(Summary!$V$2),DAY(Summary!$V$2)+INT(H234/480))</f>
        <v>43778</v>
      </c>
      <c r="J234" s="27">
        <f t="shared" si="4"/>
        <v>0.40972222222222227</v>
      </c>
    </row>
    <row r="235" spans="1:10">
      <c r="A235" t="str">
        <f>VLOOKUP(Summary!M234,Summary!$P$13:$Q$24,2)</f>
        <v>B1700-sky</v>
      </c>
      <c r="B235">
        <f>ROUND(NORMINV(Summary!M236,VLOOKUP(A235,Summary!$Q$13:$S$24,3,FALSE),VLOOKUP(A235,Summary!$Q$13:$S$24,3,FALSE)/6),-1)</f>
        <v>620</v>
      </c>
      <c r="C235" t="str">
        <f>IF(AND(H235=0,C234=Summary!$P$2),Summary!$Q$2,IF(AND(H235=0,C234=Summary!$Q$2),Summary!$R$2,C234))</f>
        <v>Neesha</v>
      </c>
      <c r="D235" t="str">
        <f>IF(C235=Summary!$P$26,VLOOKUP(Summary!M242,Summary!$Q$26:$R$27,2),IF('Run Data'!C235=Summary!$P$28,VLOOKUP(Summary!M242,Summary!$Q$28:$R$29,2),VLOOKUP(Summary!M242,Summary!$Q$30:$R$32,2)))</f>
        <v>Sprig 1</v>
      </c>
      <c r="E235" t="str">
        <f>VLOOKUP(Summary!M245,Summary!$P$42:$Q$43,2)</f>
        <v>86</v>
      </c>
      <c r="F235">
        <f>IF(LEFT(A235,3)="B60",20,IF(LEFT(A235,3)="B12",30,25))+B235*0.5+INT(Summary!M248*20)</f>
        <v>341</v>
      </c>
      <c r="G235">
        <f>ROUND(IF(OR(ISERROR(FIND(Summary!$P$89,CONCATENATE(C235,D235,E235))),ISERROR(FIND(Summary!$Q$89,A235))),Summary!$R$45,IF(H235&gt;Summary!$V$3,Summary!$R$46,Summary!$R$45))*(B235+30),0)</f>
        <v>78</v>
      </c>
      <c r="H235">
        <f>IF(H234&gt;Summary!$V$4,0,H234+F234)</f>
        <v>90684</v>
      </c>
      <c r="I235" s="26">
        <f>DATE(YEAR(Summary!$V$2),MONTH(Summary!$V$2),DAY(Summary!$V$2)+INT(H235/480))</f>
        <v>43778</v>
      </c>
      <c r="J235" s="27">
        <f t="shared" si="4"/>
        <v>0.64166666666666672</v>
      </c>
    </row>
    <row r="236" spans="1:10">
      <c r="A236" t="str">
        <f>VLOOKUP(Summary!M235,Summary!$P$13:$Q$24,2)</f>
        <v>B1200-lime</v>
      </c>
      <c r="B236">
        <f>ROUND(NORMINV(Summary!M237,VLOOKUP(A236,Summary!$Q$13:$S$24,3,FALSE),VLOOKUP(A236,Summary!$Q$13:$S$24,3,FALSE)/6),-1)</f>
        <v>360</v>
      </c>
      <c r="C236" t="str">
        <f>IF(AND(H236=0,C235=Summary!$P$2),Summary!$Q$2,IF(AND(H236=0,C235=Summary!$Q$2),Summary!$R$2,C235))</f>
        <v>Neesha</v>
      </c>
      <c r="D236" t="str">
        <f>IF(C236=Summary!$P$26,VLOOKUP(Summary!M243,Summary!$Q$26:$R$27,2),IF('Run Data'!C236=Summary!$P$28,VLOOKUP(Summary!M243,Summary!$Q$28:$R$29,2),VLOOKUP(Summary!M243,Summary!$Q$30:$R$32,2)))</f>
        <v>Sprig 4</v>
      </c>
      <c r="E236" t="str">
        <f>VLOOKUP(Summary!M246,Summary!$P$42:$Q$43,2)</f>
        <v>87b</v>
      </c>
      <c r="F236">
        <f>IF(LEFT(A236,3)="B60",20,IF(LEFT(A236,3)="B12",30,25))+B236*0.5+INT(Summary!M249*20)</f>
        <v>219</v>
      </c>
      <c r="G236">
        <f>ROUND(IF(OR(ISERROR(FIND(Summary!$P$89,CONCATENATE(C236,D236,E236))),ISERROR(FIND(Summary!$Q$89,A236))),Summary!$R$45,IF(H236&gt;Summary!$V$3,Summary!$R$46,Summary!$R$45))*(B236+30),0)</f>
        <v>4</v>
      </c>
      <c r="H236">
        <f>IF(H235&gt;Summary!$V$4,0,H235+F235)</f>
        <v>91025</v>
      </c>
      <c r="I236" s="26">
        <f>DATE(YEAR(Summary!$V$2),MONTH(Summary!$V$2),DAY(Summary!$V$2)+INT(H236/480))</f>
        <v>43779</v>
      </c>
      <c r="J236" s="27">
        <f t="shared" si="4"/>
        <v>0.54513888888888895</v>
      </c>
    </row>
    <row r="237" spans="1:10">
      <c r="A237" t="str">
        <f>VLOOKUP(Summary!M236,Summary!$P$13:$Q$24,2)</f>
        <v>B1700-sky</v>
      </c>
      <c r="B237">
        <f>ROUND(NORMINV(Summary!M238,VLOOKUP(A237,Summary!$Q$13:$S$24,3,FALSE),VLOOKUP(A237,Summary!$Q$13:$S$24,3,FALSE)/6),-1)</f>
        <v>600</v>
      </c>
      <c r="C237" t="str">
        <f>IF(AND(H237=0,C236=Summary!$P$2),Summary!$Q$2,IF(AND(H237=0,C236=Summary!$Q$2),Summary!$R$2,C236))</f>
        <v>Neesha</v>
      </c>
      <c r="D237" t="str">
        <f>IF(C237=Summary!$P$26,VLOOKUP(Summary!M244,Summary!$Q$26:$R$27,2),IF('Run Data'!C237=Summary!$P$28,VLOOKUP(Summary!M244,Summary!$Q$28:$R$29,2),VLOOKUP(Summary!M244,Summary!$Q$30:$R$32,2)))</f>
        <v>Sprig 4</v>
      </c>
      <c r="E237" t="str">
        <f>VLOOKUP(Summary!M247,Summary!$P$42:$Q$43,2)</f>
        <v>87b</v>
      </c>
      <c r="F237">
        <f>IF(LEFT(A237,3)="B60",20,IF(LEFT(A237,3)="B12",30,25))+B237*0.5+INT(Summary!M250*20)</f>
        <v>329</v>
      </c>
      <c r="G237">
        <f>ROUND(IF(OR(ISERROR(FIND(Summary!$P$89,CONCATENATE(C237,D237,E237))),ISERROR(FIND(Summary!$Q$89,A237))),Summary!$R$45,IF(H237&gt;Summary!$V$3,Summary!$R$46,Summary!$R$45))*(B237+30),0)</f>
        <v>6</v>
      </c>
      <c r="H237">
        <f>IF(H236&gt;Summary!$V$4,0,H236+F236)</f>
        <v>91244</v>
      </c>
      <c r="I237" s="26">
        <f>DATE(YEAR(Summary!$V$2),MONTH(Summary!$V$2),DAY(Summary!$V$2)+INT(H237/480))</f>
        <v>43780</v>
      </c>
      <c r="J237" s="27">
        <f t="shared" si="4"/>
        <v>0.36388888888888887</v>
      </c>
    </row>
    <row r="238" spans="1:10">
      <c r="A238" t="str">
        <f>VLOOKUP(Summary!M237,Summary!$P$13:$Q$24,2)</f>
        <v>B600-plum</v>
      </c>
      <c r="B238">
        <f>ROUND(NORMINV(Summary!M239,VLOOKUP(A238,Summary!$Q$13:$S$24,3,FALSE),VLOOKUP(A238,Summary!$Q$13:$S$24,3,FALSE)/6),-1)</f>
        <v>160</v>
      </c>
      <c r="C238" t="str">
        <f>IF(AND(H238=0,C237=Summary!$P$2),Summary!$Q$2,IF(AND(H238=0,C237=Summary!$Q$2),Summary!$R$2,C237))</f>
        <v>Neesha</v>
      </c>
      <c r="D238" t="str">
        <f>IF(C238=Summary!$P$26,VLOOKUP(Summary!M245,Summary!$Q$26:$R$27,2),IF('Run Data'!C238=Summary!$P$28,VLOOKUP(Summary!M245,Summary!$Q$28:$R$29,2),VLOOKUP(Summary!M245,Summary!$Q$30:$R$32,2)))</f>
        <v>Sprig 4</v>
      </c>
      <c r="E238" t="str">
        <f>VLOOKUP(Summary!M248,Summary!$P$42:$Q$43,2)</f>
        <v>86</v>
      </c>
      <c r="F238">
        <f>IF(LEFT(A238,3)="B60",20,IF(LEFT(A238,3)="B12",30,25))+B238*0.5+INT(Summary!M251*20)</f>
        <v>104</v>
      </c>
      <c r="G238">
        <f>ROUND(IF(OR(ISERROR(FIND(Summary!$P$89,CONCATENATE(C238,D238,E238))),ISERROR(FIND(Summary!$Q$89,A238))),Summary!$R$45,IF(H238&gt;Summary!$V$3,Summary!$R$46,Summary!$R$45))*(B238+30),0)</f>
        <v>2</v>
      </c>
      <c r="H238">
        <f>IF(H237&gt;Summary!$V$4,0,H237+F237)</f>
        <v>91573</v>
      </c>
      <c r="I238" s="26">
        <f>DATE(YEAR(Summary!$V$2),MONTH(Summary!$V$2),DAY(Summary!$V$2)+INT(H238/480))</f>
        <v>43780</v>
      </c>
      <c r="J238" s="27">
        <f t="shared" si="4"/>
        <v>0.59236111111111112</v>
      </c>
    </row>
    <row r="239" spans="1:10">
      <c r="A239" t="str">
        <f>VLOOKUP(Summary!M238,Summary!$P$13:$Q$24,2)</f>
        <v>B1200-lime</v>
      </c>
      <c r="B239">
        <f>ROUND(NORMINV(Summary!M240,VLOOKUP(A239,Summary!$Q$13:$S$24,3,FALSE),VLOOKUP(A239,Summary!$Q$13:$S$24,3,FALSE)/6),-1)</f>
        <v>650</v>
      </c>
      <c r="C239" t="str">
        <f>IF(AND(H239=0,C238=Summary!$P$2),Summary!$Q$2,IF(AND(H239=0,C238=Summary!$Q$2),Summary!$R$2,C238))</f>
        <v>Neesha</v>
      </c>
      <c r="D239" t="str">
        <f>IF(C239=Summary!$P$26,VLOOKUP(Summary!M246,Summary!$Q$26:$R$27,2),IF('Run Data'!C239=Summary!$P$28,VLOOKUP(Summary!M246,Summary!$Q$28:$R$29,2),VLOOKUP(Summary!M246,Summary!$Q$30:$R$32,2)))</f>
        <v>Sprig 4</v>
      </c>
      <c r="E239" t="str">
        <f>VLOOKUP(Summary!M249,Summary!$P$42:$Q$43,2)</f>
        <v>86</v>
      </c>
      <c r="F239">
        <f>IF(LEFT(A239,3)="B60",20,IF(LEFT(A239,3)="B12",30,25))+B239*0.5+INT(Summary!M252*20)</f>
        <v>361</v>
      </c>
      <c r="G239">
        <f>ROUND(IF(OR(ISERROR(FIND(Summary!$P$89,CONCATENATE(C239,D239,E239))),ISERROR(FIND(Summary!$Q$89,A239))),Summary!$R$45,IF(H239&gt;Summary!$V$3,Summary!$R$46,Summary!$R$45))*(B239+30),0)</f>
        <v>7</v>
      </c>
      <c r="H239">
        <f>IF(H238&gt;Summary!$V$4,0,H238+F238)</f>
        <v>91677</v>
      </c>
      <c r="I239" s="26">
        <f>DATE(YEAR(Summary!$V$2),MONTH(Summary!$V$2),DAY(Summary!$V$2)+INT(H239/480))</f>
        <v>43780</v>
      </c>
      <c r="J239" s="27">
        <f t="shared" si="4"/>
        <v>0.6645833333333333</v>
      </c>
    </row>
    <row r="240" spans="1:10">
      <c r="A240" t="str">
        <f>VLOOKUP(Summary!M239,Summary!$P$13:$Q$24,2)</f>
        <v>B600-fire</v>
      </c>
      <c r="B240">
        <f>ROUND(NORMINV(Summary!M241,VLOOKUP(A240,Summary!$Q$13:$S$24,3,FALSE),VLOOKUP(A240,Summary!$Q$13:$S$24,3,FALSE)/6),-1)</f>
        <v>480</v>
      </c>
      <c r="C240" t="str">
        <f>IF(AND(H240=0,C239=Summary!$P$2),Summary!$Q$2,IF(AND(H240=0,C239=Summary!$Q$2),Summary!$R$2,C239))</f>
        <v>Neesha</v>
      </c>
      <c r="D240" t="str">
        <f>IF(C240=Summary!$P$26,VLOOKUP(Summary!M247,Summary!$Q$26:$R$27,2),IF('Run Data'!C240=Summary!$P$28,VLOOKUP(Summary!M247,Summary!$Q$28:$R$29,2),VLOOKUP(Summary!M247,Summary!$Q$30:$R$32,2)))</f>
        <v>Sprig 4</v>
      </c>
      <c r="E240" t="str">
        <f>VLOOKUP(Summary!M250,Summary!$P$42:$Q$43,2)</f>
        <v>86</v>
      </c>
      <c r="F240">
        <f>IF(LEFT(A240,3)="B60",20,IF(LEFT(A240,3)="B12",30,25))+B240*0.5+INT(Summary!M253*20)</f>
        <v>260</v>
      </c>
      <c r="G240">
        <f>ROUND(IF(OR(ISERROR(FIND(Summary!$P$89,CONCATENATE(C240,D240,E240))),ISERROR(FIND(Summary!$Q$89,A240))),Summary!$R$45,IF(H240&gt;Summary!$V$3,Summary!$R$46,Summary!$R$45))*(B240+30),0)</f>
        <v>5</v>
      </c>
      <c r="H240">
        <f>IF(H239&gt;Summary!$V$4,0,H239+F239)</f>
        <v>92038</v>
      </c>
      <c r="I240" s="26">
        <f>DATE(YEAR(Summary!$V$2),MONTH(Summary!$V$2),DAY(Summary!$V$2)+INT(H240/480))</f>
        <v>43781</v>
      </c>
      <c r="J240" s="27">
        <f t="shared" si="4"/>
        <v>0.58194444444444449</v>
      </c>
    </row>
    <row r="241" spans="1:10">
      <c r="A241" t="str">
        <f>VLOOKUP(Summary!M240,Summary!$P$13:$Q$24,2)</f>
        <v>B600-fire</v>
      </c>
      <c r="B241">
        <f>ROUND(NORMINV(Summary!M242,VLOOKUP(A241,Summary!$Q$13:$S$24,3,FALSE),VLOOKUP(A241,Summary!$Q$13:$S$24,3,FALSE)/6),-1)</f>
        <v>420</v>
      </c>
      <c r="C241" t="str">
        <f>IF(AND(H241=0,C240=Summary!$P$2),Summary!$Q$2,IF(AND(H241=0,C240=Summary!$Q$2),Summary!$R$2,C240))</f>
        <v>Neesha</v>
      </c>
      <c r="D241" t="str">
        <f>IF(C241=Summary!$P$26,VLOOKUP(Summary!M248,Summary!$Q$26:$R$27,2),IF('Run Data'!C241=Summary!$P$28,VLOOKUP(Summary!M248,Summary!$Q$28:$R$29,2),VLOOKUP(Summary!M248,Summary!$Q$30:$R$32,2)))</f>
        <v>Sprig 1</v>
      </c>
      <c r="E241" t="str">
        <f>VLOOKUP(Summary!M251,Summary!$P$42:$Q$43,2)</f>
        <v>86</v>
      </c>
      <c r="F241">
        <f>IF(LEFT(A241,3)="B60",20,IF(LEFT(A241,3)="B12",30,25))+B241*0.5+INT(Summary!M254*20)</f>
        <v>231</v>
      </c>
      <c r="G241">
        <f>ROUND(IF(OR(ISERROR(FIND(Summary!$P$89,CONCATENATE(C241,D241,E241))),ISERROR(FIND(Summary!$Q$89,A241))),Summary!$R$45,IF(H241&gt;Summary!$V$3,Summary!$R$46,Summary!$R$45))*(B241+30),0)</f>
        <v>5</v>
      </c>
      <c r="H241">
        <f>IF(H240&gt;Summary!$V$4,0,H240+F240)</f>
        <v>92298</v>
      </c>
      <c r="I241" s="26">
        <f>DATE(YEAR(Summary!$V$2),MONTH(Summary!$V$2),DAY(Summary!$V$2)+INT(H241/480))</f>
        <v>43782</v>
      </c>
      <c r="J241" s="27">
        <f t="shared" si="4"/>
        <v>0.4291666666666667</v>
      </c>
    </row>
    <row r="242" spans="1:10">
      <c r="A242" t="str">
        <f>VLOOKUP(Summary!M241,Summary!$P$13:$Q$24,2)</f>
        <v>B1700-fire</v>
      </c>
      <c r="B242">
        <f>ROUND(NORMINV(Summary!M243,VLOOKUP(A242,Summary!$Q$13:$S$24,3,FALSE),VLOOKUP(A242,Summary!$Q$13:$S$24,3,FALSE)/6),-1)</f>
        <v>860</v>
      </c>
      <c r="C242" t="str">
        <f>IF(AND(H242=0,C241=Summary!$P$2),Summary!$Q$2,IF(AND(H242=0,C241=Summary!$Q$2),Summary!$R$2,C241))</f>
        <v>Neesha</v>
      </c>
      <c r="D242" t="str">
        <f>IF(C242=Summary!$P$26,VLOOKUP(Summary!M249,Summary!$Q$26:$R$27,2),IF('Run Data'!C242=Summary!$P$28,VLOOKUP(Summary!M249,Summary!$Q$28:$R$29,2),VLOOKUP(Summary!M249,Summary!$Q$30:$R$32,2)))</f>
        <v>Sprig 1</v>
      </c>
      <c r="E242" t="str">
        <f>VLOOKUP(Summary!M252,Summary!$P$42:$Q$43,2)</f>
        <v>86</v>
      </c>
      <c r="F242">
        <f>IF(LEFT(A242,3)="B60",20,IF(LEFT(A242,3)="B12",30,25))+B242*0.5+INT(Summary!M255*20)</f>
        <v>472</v>
      </c>
      <c r="G242">
        <f>ROUND(IF(OR(ISERROR(FIND(Summary!$P$89,CONCATENATE(C242,D242,E242))),ISERROR(FIND(Summary!$Q$89,A242))),Summary!$R$45,IF(H242&gt;Summary!$V$3,Summary!$R$46,Summary!$R$45))*(B242+30),0)</f>
        <v>107</v>
      </c>
      <c r="H242">
        <f>IF(H241&gt;Summary!$V$4,0,H241+F241)</f>
        <v>92529</v>
      </c>
      <c r="I242" s="26">
        <f>DATE(YEAR(Summary!$V$2),MONTH(Summary!$V$2),DAY(Summary!$V$2)+INT(H242/480))</f>
        <v>43782</v>
      </c>
      <c r="J242" s="27">
        <f t="shared" si="4"/>
        <v>0.58958333333333335</v>
      </c>
    </row>
    <row r="243" spans="1:10">
      <c r="A243" t="str">
        <f>VLOOKUP(Summary!M242,Summary!$P$13:$Q$24,2)</f>
        <v>B1200-lime</v>
      </c>
      <c r="B243">
        <f>ROUND(NORMINV(Summary!M244,VLOOKUP(A243,Summary!$Q$13:$S$24,3,FALSE),VLOOKUP(A243,Summary!$Q$13:$S$24,3,FALSE)/6),-1)</f>
        <v>970</v>
      </c>
      <c r="C243" t="str">
        <f>IF(AND(H243=0,C242=Summary!$P$2),Summary!$Q$2,IF(AND(H243=0,C242=Summary!$Q$2),Summary!$R$2,C242))</f>
        <v>Neesha</v>
      </c>
      <c r="D243" t="str">
        <f>IF(C243=Summary!$P$26,VLOOKUP(Summary!M250,Summary!$Q$26:$R$27,2),IF('Run Data'!C243=Summary!$P$28,VLOOKUP(Summary!M250,Summary!$Q$28:$R$29,2),VLOOKUP(Summary!M250,Summary!$Q$30:$R$32,2)))</f>
        <v>Sprig 1</v>
      </c>
      <c r="E243" t="str">
        <f>VLOOKUP(Summary!M253,Summary!$P$42:$Q$43,2)</f>
        <v>86</v>
      </c>
      <c r="F243">
        <f>IF(LEFT(A243,3)="B60",20,IF(LEFT(A243,3)="B12",30,25))+B243*0.5+INT(Summary!M256*20)</f>
        <v>522</v>
      </c>
      <c r="G243">
        <f>ROUND(IF(OR(ISERROR(FIND(Summary!$P$89,CONCATENATE(C243,D243,E243))),ISERROR(FIND(Summary!$Q$89,A243))),Summary!$R$45,IF(H243&gt;Summary!$V$3,Summary!$R$46,Summary!$R$45))*(B243+30),0)</f>
        <v>10</v>
      </c>
      <c r="H243">
        <f>IF(H242&gt;Summary!$V$4,0,H242+F242)</f>
        <v>93001</v>
      </c>
      <c r="I243" s="26">
        <f>DATE(YEAR(Summary!$V$2),MONTH(Summary!$V$2),DAY(Summary!$V$2)+INT(H243/480))</f>
        <v>43783</v>
      </c>
      <c r="J243" s="27">
        <f t="shared" si="4"/>
        <v>0.58402777777777781</v>
      </c>
    </row>
    <row r="244" spans="1:10">
      <c r="A244" t="str">
        <f>VLOOKUP(Summary!M243,Summary!$P$13:$Q$24,2)</f>
        <v>B1700-sky</v>
      </c>
      <c r="B244">
        <f>ROUND(NORMINV(Summary!M245,VLOOKUP(A244,Summary!$Q$13:$S$24,3,FALSE),VLOOKUP(A244,Summary!$Q$13:$S$24,3,FALSE)/6),-1)</f>
        <v>630</v>
      </c>
      <c r="C244" t="str">
        <f>IF(AND(H244=0,C243=Summary!$P$2),Summary!$Q$2,IF(AND(H244=0,C243=Summary!$Q$2),Summary!$R$2,C243))</f>
        <v>Neesha</v>
      </c>
      <c r="D244" t="str">
        <f>IF(C244=Summary!$P$26,VLOOKUP(Summary!M251,Summary!$Q$26:$R$27,2),IF('Run Data'!C244=Summary!$P$28,VLOOKUP(Summary!M251,Summary!$Q$28:$R$29,2),VLOOKUP(Summary!M251,Summary!$Q$30:$R$32,2)))</f>
        <v>Sprig 1</v>
      </c>
      <c r="E244" t="str">
        <f>VLOOKUP(Summary!M254,Summary!$P$42:$Q$43,2)</f>
        <v>86</v>
      </c>
      <c r="F244">
        <f>IF(LEFT(A244,3)="B60",20,IF(LEFT(A244,3)="B12",30,25))+B244*0.5+INT(Summary!M257*20)</f>
        <v>346</v>
      </c>
      <c r="G244">
        <f>ROUND(IF(OR(ISERROR(FIND(Summary!$P$89,CONCATENATE(C244,D244,E244))),ISERROR(FIND(Summary!$Q$89,A244))),Summary!$R$45,IF(H244&gt;Summary!$V$3,Summary!$R$46,Summary!$R$45))*(B244+30),0)</f>
        <v>79</v>
      </c>
      <c r="H244">
        <f>IF(H243&gt;Summary!$V$4,0,H243+F243)</f>
        <v>93523</v>
      </c>
      <c r="I244" s="26">
        <f>DATE(YEAR(Summary!$V$2),MONTH(Summary!$V$2),DAY(Summary!$V$2)+INT(H244/480))</f>
        <v>43784</v>
      </c>
      <c r="J244" s="27">
        <f t="shared" si="4"/>
        <v>0.61319444444444449</v>
      </c>
    </row>
    <row r="245" spans="1:10">
      <c r="A245" t="str">
        <f>VLOOKUP(Summary!M244,Summary!$P$13:$Q$24,2)</f>
        <v>B1700-fire</v>
      </c>
      <c r="B245">
        <f>ROUND(NORMINV(Summary!M246,VLOOKUP(A245,Summary!$Q$13:$S$24,3,FALSE),VLOOKUP(A245,Summary!$Q$13:$S$24,3,FALSE)/6),-1)</f>
        <v>980</v>
      </c>
      <c r="C245" t="str">
        <f>IF(AND(H245=0,C244=Summary!$P$2),Summary!$Q$2,IF(AND(H245=0,C244=Summary!$Q$2),Summary!$R$2,C244))</f>
        <v>Neesha</v>
      </c>
      <c r="D245" t="str">
        <f>IF(C245=Summary!$P$26,VLOOKUP(Summary!M252,Summary!$Q$26:$R$27,2),IF('Run Data'!C245=Summary!$P$28,VLOOKUP(Summary!M252,Summary!$Q$28:$R$29,2),VLOOKUP(Summary!M252,Summary!$Q$30:$R$32,2)))</f>
        <v>Sprig 1</v>
      </c>
      <c r="E245" t="str">
        <f>VLOOKUP(Summary!M255,Summary!$P$42:$Q$43,2)</f>
        <v>87b</v>
      </c>
      <c r="F245">
        <f>IF(LEFT(A245,3)="B60",20,IF(LEFT(A245,3)="B12",30,25))+B245*0.5+INT(Summary!M258*20)</f>
        <v>522</v>
      </c>
      <c r="G245">
        <f>ROUND(IF(OR(ISERROR(FIND(Summary!$P$89,CONCATENATE(C245,D245,E245))),ISERROR(FIND(Summary!$Q$89,A245))),Summary!$R$45,IF(H245&gt;Summary!$V$3,Summary!$R$46,Summary!$R$45))*(B245+30),0)</f>
        <v>10</v>
      </c>
      <c r="H245">
        <f>IF(H244&gt;Summary!$V$4,0,H244+F244)</f>
        <v>93869</v>
      </c>
      <c r="I245" s="26">
        <f>DATE(YEAR(Summary!$V$2),MONTH(Summary!$V$2),DAY(Summary!$V$2)+INT(H245/480))</f>
        <v>43785</v>
      </c>
      <c r="J245" s="27">
        <f t="shared" si="4"/>
        <v>0.52013888888888882</v>
      </c>
    </row>
    <row r="246" spans="1:10">
      <c r="A246" t="str">
        <f>VLOOKUP(Summary!M245,Summary!$P$13:$Q$24,2)</f>
        <v>B1700-sky</v>
      </c>
      <c r="B246">
        <f>ROUND(NORMINV(Summary!M247,VLOOKUP(A246,Summary!$Q$13:$S$24,3,FALSE),VLOOKUP(A246,Summary!$Q$13:$S$24,3,FALSE)/6),-1)</f>
        <v>710</v>
      </c>
      <c r="C246" t="str">
        <f>IF(AND(H246=0,C245=Summary!$P$2),Summary!$Q$2,IF(AND(H246=0,C245=Summary!$Q$2),Summary!$R$2,C245))</f>
        <v>Neesha</v>
      </c>
      <c r="D246" t="str">
        <f>IF(C246=Summary!$P$26,VLOOKUP(Summary!M253,Summary!$Q$26:$R$27,2),IF('Run Data'!C246=Summary!$P$28,VLOOKUP(Summary!M253,Summary!$Q$28:$R$29,2),VLOOKUP(Summary!M253,Summary!$Q$30:$R$32,2)))</f>
        <v>Sprig 1</v>
      </c>
      <c r="E246" t="str">
        <f>VLOOKUP(Summary!M256,Summary!$P$42:$Q$43,2)</f>
        <v>86</v>
      </c>
      <c r="F246">
        <f>IF(LEFT(A246,3)="B60",20,IF(LEFT(A246,3)="B12",30,25))+B246*0.5+INT(Summary!M259*20)</f>
        <v>382</v>
      </c>
      <c r="G246">
        <f>ROUND(IF(OR(ISERROR(FIND(Summary!$P$89,CONCATENATE(C246,D246,E246))),ISERROR(FIND(Summary!$Q$89,A246))),Summary!$R$45,IF(H246&gt;Summary!$V$3,Summary!$R$46,Summary!$R$45))*(B246+30),0)</f>
        <v>89</v>
      </c>
      <c r="H246">
        <f>IF(H245&gt;Summary!$V$4,0,H245+F245)</f>
        <v>94391</v>
      </c>
      <c r="I246" s="26">
        <f>DATE(YEAR(Summary!$V$2),MONTH(Summary!$V$2),DAY(Summary!$V$2)+INT(H246/480))</f>
        <v>43786</v>
      </c>
      <c r="J246" s="27">
        <f t="shared" si="4"/>
        <v>0.5493055555555556</v>
      </c>
    </row>
    <row r="247" spans="1:10">
      <c r="A247" t="str">
        <f>VLOOKUP(Summary!M246,Summary!$P$13:$Q$24,2)</f>
        <v>B1700-lime</v>
      </c>
      <c r="B247">
        <f>ROUND(NORMINV(Summary!M248,VLOOKUP(A247,Summary!$Q$13:$S$24,3,FALSE),VLOOKUP(A247,Summary!$Q$13:$S$24,3,FALSE)/6),-1)</f>
        <v>370</v>
      </c>
      <c r="C247" t="str">
        <f>IF(AND(H247=0,C246=Summary!$P$2),Summary!$Q$2,IF(AND(H247=0,C246=Summary!$Q$2),Summary!$R$2,C246))</f>
        <v>Neesha</v>
      </c>
      <c r="D247" t="str">
        <f>IF(C247=Summary!$P$26,VLOOKUP(Summary!M254,Summary!$Q$26:$R$27,2),IF('Run Data'!C247=Summary!$P$28,VLOOKUP(Summary!M254,Summary!$Q$28:$R$29,2),VLOOKUP(Summary!M254,Summary!$Q$30:$R$32,2)))</f>
        <v>Sprig 1</v>
      </c>
      <c r="E247" t="str">
        <f>VLOOKUP(Summary!M257,Summary!$P$42:$Q$43,2)</f>
        <v>86</v>
      </c>
      <c r="F247">
        <f>IF(LEFT(A247,3)="B60",20,IF(LEFT(A247,3)="B12",30,25))+B247*0.5+INT(Summary!M260*20)</f>
        <v>221</v>
      </c>
      <c r="G247">
        <f>ROUND(IF(OR(ISERROR(FIND(Summary!$P$89,CONCATENATE(C247,D247,E247))),ISERROR(FIND(Summary!$Q$89,A247))),Summary!$R$45,IF(H247&gt;Summary!$V$3,Summary!$R$46,Summary!$R$45))*(B247+30),0)</f>
        <v>48</v>
      </c>
      <c r="H247">
        <f>IF(H246&gt;Summary!$V$4,0,H246+F246)</f>
        <v>94773</v>
      </c>
      <c r="I247" s="26">
        <f>DATE(YEAR(Summary!$V$2),MONTH(Summary!$V$2),DAY(Summary!$V$2)+INT(H247/480))</f>
        <v>43787</v>
      </c>
      <c r="J247" s="27">
        <f t="shared" si="4"/>
        <v>0.48125000000000001</v>
      </c>
    </row>
    <row r="248" spans="1:10">
      <c r="A248" t="str">
        <f>VLOOKUP(Summary!M247,Summary!$P$13:$Q$24,2)</f>
        <v>B1700-lime</v>
      </c>
      <c r="B248">
        <f>ROUND(NORMINV(Summary!M249,VLOOKUP(A248,Summary!$Q$13:$S$24,3,FALSE),VLOOKUP(A248,Summary!$Q$13:$S$24,3,FALSE)/6),-1)</f>
        <v>400</v>
      </c>
      <c r="C248" t="str">
        <f>IF(AND(H248=0,C247=Summary!$P$2),Summary!$Q$2,IF(AND(H248=0,C247=Summary!$Q$2),Summary!$R$2,C247))</f>
        <v>Neesha</v>
      </c>
      <c r="D248" t="str">
        <f>IF(C248=Summary!$P$26,VLOOKUP(Summary!M255,Summary!$Q$26:$R$27,2),IF('Run Data'!C248=Summary!$P$28,VLOOKUP(Summary!M255,Summary!$Q$28:$R$29,2),VLOOKUP(Summary!M255,Summary!$Q$30:$R$32,2)))</f>
        <v>Sprig 4</v>
      </c>
      <c r="E248" t="str">
        <f>VLOOKUP(Summary!M258,Summary!$P$42:$Q$43,2)</f>
        <v>86</v>
      </c>
      <c r="F248">
        <f>IF(LEFT(A248,3)="B60",20,IF(LEFT(A248,3)="B12",30,25))+B248*0.5+INT(Summary!M261*20)</f>
        <v>241</v>
      </c>
      <c r="G248">
        <f>ROUND(IF(OR(ISERROR(FIND(Summary!$P$89,CONCATENATE(C248,D248,E248))),ISERROR(FIND(Summary!$Q$89,A248))),Summary!$R$45,IF(H248&gt;Summary!$V$3,Summary!$R$46,Summary!$R$45))*(B248+30),0)</f>
        <v>52</v>
      </c>
      <c r="H248">
        <f>IF(H247&gt;Summary!$V$4,0,H247+F247)</f>
        <v>94994</v>
      </c>
      <c r="I248" s="26">
        <f>DATE(YEAR(Summary!$V$2),MONTH(Summary!$V$2),DAY(Summary!$V$2)+INT(H248/480))</f>
        <v>43787</v>
      </c>
      <c r="J248" s="27">
        <f t="shared" si="4"/>
        <v>0.63472222222222219</v>
      </c>
    </row>
    <row r="249" spans="1:10">
      <c r="A249" t="str">
        <f>VLOOKUP(Summary!M248,Summary!$P$13:$Q$24,2)</f>
        <v>B1200-plum</v>
      </c>
      <c r="B249">
        <f>ROUND(NORMINV(Summary!M250,VLOOKUP(A249,Summary!$Q$13:$S$24,3,FALSE),VLOOKUP(A249,Summary!$Q$13:$S$24,3,FALSE)/6),-1)</f>
        <v>400</v>
      </c>
      <c r="C249" t="str">
        <f>IF(AND(H249=0,C248=Summary!$P$2),Summary!$Q$2,IF(AND(H249=0,C248=Summary!$Q$2),Summary!$R$2,C248))</f>
        <v>Neesha</v>
      </c>
      <c r="D249" t="str">
        <f>IF(C249=Summary!$P$26,VLOOKUP(Summary!M256,Summary!$Q$26:$R$27,2),IF('Run Data'!C249=Summary!$P$28,VLOOKUP(Summary!M256,Summary!$Q$28:$R$29,2),VLOOKUP(Summary!M256,Summary!$Q$30:$R$32,2)))</f>
        <v>Sprig 1</v>
      </c>
      <c r="E249" t="str">
        <f>VLOOKUP(Summary!M259,Summary!$P$42:$Q$43,2)</f>
        <v>86</v>
      </c>
      <c r="F249">
        <f>IF(LEFT(A249,3)="B60",20,IF(LEFT(A249,3)="B12",30,25))+B249*0.5+INT(Summary!M262*20)</f>
        <v>232</v>
      </c>
      <c r="G249">
        <f>ROUND(IF(OR(ISERROR(FIND(Summary!$P$89,CONCATENATE(C249,D249,E249))),ISERROR(FIND(Summary!$Q$89,A249))),Summary!$R$45,IF(H249&gt;Summary!$V$3,Summary!$R$46,Summary!$R$45))*(B249+30),0)</f>
        <v>4</v>
      </c>
      <c r="H249">
        <f>IF(H248&gt;Summary!$V$4,0,H248+F248)</f>
        <v>95235</v>
      </c>
      <c r="I249" s="26">
        <f>DATE(YEAR(Summary!$V$2),MONTH(Summary!$V$2),DAY(Summary!$V$2)+INT(H249/480))</f>
        <v>43788</v>
      </c>
      <c r="J249" s="27">
        <f t="shared" si="4"/>
        <v>0.46875</v>
      </c>
    </row>
    <row r="250" spans="1:10">
      <c r="A250" t="str">
        <f>VLOOKUP(Summary!M249,Summary!$P$13:$Q$24,2)</f>
        <v>B1200-fire</v>
      </c>
      <c r="B250">
        <f>ROUND(NORMINV(Summary!M251,VLOOKUP(A250,Summary!$Q$13:$S$24,3,FALSE),VLOOKUP(A250,Summary!$Q$13:$S$24,3,FALSE)/6),-1)</f>
        <v>1060</v>
      </c>
      <c r="C250" t="str">
        <f>IF(AND(H250=0,C249=Summary!$P$2),Summary!$Q$2,IF(AND(H250=0,C249=Summary!$Q$2),Summary!$R$2,C249))</f>
        <v>Neesha</v>
      </c>
      <c r="D250" t="str">
        <f>IF(C250=Summary!$P$26,VLOOKUP(Summary!M257,Summary!$Q$26:$R$27,2),IF('Run Data'!C250=Summary!$P$28,VLOOKUP(Summary!M257,Summary!$Q$28:$R$29,2),VLOOKUP(Summary!M257,Summary!$Q$30:$R$32,2)))</f>
        <v>Sprig 1</v>
      </c>
      <c r="E250" t="str">
        <f>VLOOKUP(Summary!M260,Summary!$P$42:$Q$43,2)</f>
        <v>86</v>
      </c>
      <c r="F250">
        <f>IF(LEFT(A250,3)="B60",20,IF(LEFT(A250,3)="B12",30,25))+B250*0.5+INT(Summary!M263*20)</f>
        <v>566</v>
      </c>
      <c r="G250">
        <f>ROUND(IF(OR(ISERROR(FIND(Summary!$P$89,CONCATENATE(C250,D250,E250))),ISERROR(FIND(Summary!$Q$89,A250))),Summary!$R$45,IF(H250&gt;Summary!$V$3,Summary!$R$46,Summary!$R$45))*(B250+30),0)</f>
        <v>11</v>
      </c>
      <c r="H250">
        <f>IF(H249&gt;Summary!$V$4,0,H249+F249)</f>
        <v>95467</v>
      </c>
      <c r="I250" s="26">
        <f>DATE(YEAR(Summary!$V$2),MONTH(Summary!$V$2),DAY(Summary!$V$2)+INT(H250/480))</f>
        <v>43788</v>
      </c>
      <c r="J250" s="27">
        <f t="shared" si="4"/>
        <v>0.62986111111111109</v>
      </c>
    </row>
    <row r="251" spans="1:10">
      <c r="A251" t="str">
        <f>VLOOKUP(Summary!M250,Summary!$P$13:$Q$24,2)</f>
        <v>B1200-plum</v>
      </c>
      <c r="B251">
        <f>ROUND(NORMINV(Summary!M252,VLOOKUP(A251,Summary!$Q$13:$S$24,3,FALSE),VLOOKUP(A251,Summary!$Q$13:$S$24,3,FALSE)/6),-1)</f>
        <v>420</v>
      </c>
      <c r="C251" t="str">
        <f>IF(AND(H251=0,C250=Summary!$P$2),Summary!$Q$2,IF(AND(H251=0,C250=Summary!$Q$2),Summary!$R$2,C250))</f>
        <v>Neesha</v>
      </c>
      <c r="D251" t="str">
        <f>IF(C251=Summary!$P$26,VLOOKUP(Summary!M258,Summary!$Q$26:$R$27,2),IF('Run Data'!C251=Summary!$P$28,VLOOKUP(Summary!M258,Summary!$Q$28:$R$29,2),VLOOKUP(Summary!M258,Summary!$Q$30:$R$32,2)))</f>
        <v>Sprig 1</v>
      </c>
      <c r="E251" t="str">
        <f>VLOOKUP(Summary!M261,Summary!$P$42:$Q$43,2)</f>
        <v>86</v>
      </c>
      <c r="F251">
        <f>IF(LEFT(A251,3)="B60",20,IF(LEFT(A251,3)="B12",30,25))+B251*0.5+INT(Summary!M264*20)</f>
        <v>243</v>
      </c>
      <c r="G251">
        <f>ROUND(IF(OR(ISERROR(FIND(Summary!$P$89,CONCATENATE(C251,D251,E251))),ISERROR(FIND(Summary!$Q$89,A251))),Summary!$R$45,IF(H251&gt;Summary!$V$3,Summary!$R$46,Summary!$R$45))*(B251+30),0)</f>
        <v>5</v>
      </c>
      <c r="H251">
        <f>IF(H250&gt;Summary!$V$4,0,H250+F250)</f>
        <v>96033</v>
      </c>
      <c r="I251" s="26">
        <f>DATE(YEAR(Summary!$V$2),MONTH(Summary!$V$2),DAY(Summary!$V$2)+INT(H251/480))</f>
        <v>43790</v>
      </c>
      <c r="J251" s="27">
        <f t="shared" si="4"/>
        <v>0.35625000000000001</v>
      </c>
    </row>
    <row r="252" spans="1:10">
      <c r="A252" t="str">
        <f>VLOOKUP(Summary!M251,Summary!$P$13:$Q$24,2)</f>
        <v>B1200-plum</v>
      </c>
      <c r="B252">
        <f>ROUND(NORMINV(Summary!M253,VLOOKUP(A252,Summary!$Q$13:$S$24,3,FALSE),VLOOKUP(A252,Summary!$Q$13:$S$24,3,FALSE)/6),-1)</f>
        <v>320</v>
      </c>
      <c r="C252" t="str">
        <f>IF(AND(H252=0,C251=Summary!$P$2),Summary!$Q$2,IF(AND(H252=0,C251=Summary!$Q$2),Summary!$R$2,C251))</f>
        <v>Neesha</v>
      </c>
      <c r="D252" t="str">
        <f>IF(C252=Summary!$P$26,VLOOKUP(Summary!M259,Summary!$Q$26:$R$27,2),IF('Run Data'!C252=Summary!$P$28,VLOOKUP(Summary!M259,Summary!$Q$28:$R$29,2),VLOOKUP(Summary!M259,Summary!$Q$30:$R$32,2)))</f>
        <v>Sprig 1</v>
      </c>
      <c r="E252" t="str">
        <f>VLOOKUP(Summary!M262,Summary!$P$42:$Q$43,2)</f>
        <v>86</v>
      </c>
      <c r="F252">
        <f>IF(LEFT(A252,3)="B60",20,IF(LEFT(A252,3)="B12",30,25))+B252*0.5+INT(Summary!M265*20)</f>
        <v>201</v>
      </c>
      <c r="G252">
        <f>ROUND(IF(OR(ISERROR(FIND(Summary!$P$89,CONCATENATE(C252,D252,E252))),ISERROR(FIND(Summary!$Q$89,A252))),Summary!$R$45,IF(H252&gt;Summary!$V$3,Summary!$R$46,Summary!$R$45))*(B252+30),0)</f>
        <v>4</v>
      </c>
      <c r="H252">
        <f>IF(H251&gt;Summary!$V$4,0,H251+F251)</f>
        <v>96276</v>
      </c>
      <c r="I252" s="26">
        <f>DATE(YEAR(Summary!$V$2),MONTH(Summary!$V$2),DAY(Summary!$V$2)+INT(H252/480))</f>
        <v>43790</v>
      </c>
      <c r="J252" s="27">
        <f t="shared" si="4"/>
        <v>0.52500000000000002</v>
      </c>
    </row>
    <row r="253" spans="1:10">
      <c r="A253" t="str">
        <f>VLOOKUP(Summary!M252,Summary!$P$13:$Q$24,2)</f>
        <v>B1200-sky</v>
      </c>
      <c r="B253">
        <f>ROUND(NORMINV(Summary!M254,VLOOKUP(A253,Summary!$Q$13:$S$24,3,FALSE),VLOOKUP(A253,Summary!$Q$13:$S$24,3,FALSE)/6),-1)</f>
        <v>880</v>
      </c>
      <c r="C253" t="str">
        <f>IF(AND(H253=0,C252=Summary!$P$2),Summary!$Q$2,IF(AND(H253=0,C252=Summary!$Q$2),Summary!$R$2,C252))</f>
        <v>Neesha</v>
      </c>
      <c r="D253" t="str">
        <f>IF(C253=Summary!$P$26,VLOOKUP(Summary!M260,Summary!$Q$26:$R$27,2),IF('Run Data'!C253=Summary!$P$28,VLOOKUP(Summary!M260,Summary!$Q$28:$R$29,2),VLOOKUP(Summary!M260,Summary!$Q$30:$R$32,2)))</f>
        <v>Sprig 1</v>
      </c>
      <c r="E253" t="str">
        <f>VLOOKUP(Summary!M263,Summary!$P$42:$Q$43,2)</f>
        <v>86</v>
      </c>
      <c r="F253">
        <f>IF(LEFT(A253,3)="B60",20,IF(LEFT(A253,3)="B12",30,25))+B253*0.5+INT(Summary!M266*20)</f>
        <v>481</v>
      </c>
      <c r="G253">
        <f>ROUND(IF(OR(ISERROR(FIND(Summary!$P$89,CONCATENATE(C253,D253,E253))),ISERROR(FIND(Summary!$Q$89,A253))),Summary!$R$45,IF(H253&gt;Summary!$V$3,Summary!$R$46,Summary!$R$45))*(B253+30),0)</f>
        <v>9</v>
      </c>
      <c r="H253">
        <f>IF(H252&gt;Summary!$V$4,0,H252+F252)</f>
        <v>96477</v>
      </c>
      <c r="I253" s="26">
        <f>DATE(YEAR(Summary!$V$2),MONTH(Summary!$V$2),DAY(Summary!$V$2)+INT(H253/480))</f>
        <v>43790</v>
      </c>
      <c r="J253" s="27">
        <f t="shared" si="4"/>
        <v>0.6645833333333333</v>
      </c>
    </row>
    <row r="254" spans="1:10">
      <c r="A254" t="str">
        <f>VLOOKUP(Summary!M253,Summary!$P$13:$Q$24,2)</f>
        <v>B600-plum</v>
      </c>
      <c r="B254">
        <f>ROUND(NORMINV(Summary!M255,VLOOKUP(A254,Summary!$Q$13:$S$24,3,FALSE),VLOOKUP(A254,Summary!$Q$13:$S$24,3,FALSE)/6),-1)</f>
        <v>240</v>
      </c>
      <c r="C254" t="str">
        <f>IF(AND(H254=0,C253=Summary!$P$2),Summary!$Q$2,IF(AND(H254=0,C253=Summary!$Q$2),Summary!$R$2,C253))</f>
        <v>Neesha</v>
      </c>
      <c r="D254" t="str">
        <f>IF(C254=Summary!$P$26,VLOOKUP(Summary!M261,Summary!$Q$26:$R$27,2),IF('Run Data'!C254=Summary!$P$28,VLOOKUP(Summary!M261,Summary!$Q$28:$R$29,2),VLOOKUP(Summary!M261,Summary!$Q$30:$R$32,2)))</f>
        <v>Sprig 4</v>
      </c>
      <c r="E254" t="str">
        <f>VLOOKUP(Summary!M264,Summary!$P$42:$Q$43,2)</f>
        <v>86</v>
      </c>
      <c r="F254">
        <f>IF(LEFT(A254,3)="B60",20,IF(LEFT(A254,3)="B12",30,25))+B254*0.5+INT(Summary!M267*20)</f>
        <v>146</v>
      </c>
      <c r="G254">
        <f>ROUND(IF(OR(ISERROR(FIND(Summary!$P$89,CONCATENATE(C254,D254,E254))),ISERROR(FIND(Summary!$Q$89,A254))),Summary!$R$45,IF(H254&gt;Summary!$V$3,Summary!$R$46,Summary!$R$45))*(B254+30),0)</f>
        <v>3</v>
      </c>
      <c r="H254">
        <f>IF(H253&gt;Summary!$V$4,0,H253+F253)</f>
        <v>96958</v>
      </c>
      <c r="I254" s="26">
        <f>DATE(YEAR(Summary!$V$2),MONTH(Summary!$V$2),DAY(Summary!$V$2)+INT(H254/480))</f>
        <v>43791</v>
      </c>
      <c r="J254" s="27">
        <f t="shared" si="4"/>
        <v>0.66527777777777775</v>
      </c>
    </row>
    <row r="255" spans="1:10">
      <c r="A255" t="str">
        <f>VLOOKUP(Summary!M254,Summary!$P$13:$Q$24,2)</f>
        <v>B600-sky</v>
      </c>
      <c r="B255">
        <f>ROUND(NORMINV(Summary!M256,VLOOKUP(A255,Summary!$Q$13:$S$24,3,FALSE),VLOOKUP(A255,Summary!$Q$13:$S$24,3,FALSE)/6),-1)</f>
        <v>470</v>
      </c>
      <c r="C255" t="str">
        <f>IF(AND(H255=0,C254=Summary!$P$2),Summary!$Q$2,IF(AND(H255=0,C254=Summary!$Q$2),Summary!$R$2,C254))</f>
        <v>Neesha</v>
      </c>
      <c r="D255" t="str">
        <f>IF(C255=Summary!$P$26,VLOOKUP(Summary!M262,Summary!$Q$26:$R$27,2),IF('Run Data'!C255=Summary!$P$28,VLOOKUP(Summary!M262,Summary!$Q$28:$R$29,2),VLOOKUP(Summary!M262,Summary!$Q$30:$R$32,2)))</f>
        <v>Sprig 1</v>
      </c>
      <c r="E255" t="str">
        <f>VLOOKUP(Summary!M265,Summary!$P$42:$Q$43,2)</f>
        <v>86</v>
      </c>
      <c r="F255">
        <f>IF(LEFT(A255,3)="B60",20,IF(LEFT(A255,3)="B12",30,25))+B255*0.5+INT(Summary!M268*20)</f>
        <v>255</v>
      </c>
      <c r="G255">
        <f>ROUND(IF(OR(ISERROR(FIND(Summary!$P$89,CONCATENATE(C255,D255,E255))),ISERROR(FIND(Summary!$Q$89,A255))),Summary!$R$45,IF(H255&gt;Summary!$V$3,Summary!$R$46,Summary!$R$45))*(B255+30),0)</f>
        <v>5</v>
      </c>
      <c r="H255">
        <f>IF(H254&gt;Summary!$V$4,0,H254+F254)</f>
        <v>97104</v>
      </c>
      <c r="I255" s="26">
        <f>DATE(YEAR(Summary!$V$2),MONTH(Summary!$V$2),DAY(Summary!$V$2)+INT(H255/480))</f>
        <v>43792</v>
      </c>
      <c r="J255" s="27">
        <f t="shared" si="4"/>
        <v>0.43333333333333335</v>
      </c>
    </row>
    <row r="256" spans="1:10">
      <c r="A256" t="str">
        <f>VLOOKUP(Summary!M255,Summary!$P$13:$Q$24,2)</f>
        <v>B1700-fire</v>
      </c>
      <c r="B256">
        <f>ROUND(NORMINV(Summary!M257,VLOOKUP(A256,Summary!$Q$13:$S$24,3,FALSE),VLOOKUP(A256,Summary!$Q$13:$S$24,3,FALSE)/6),-1)</f>
        <v>700</v>
      </c>
      <c r="C256" t="str">
        <f>IF(AND(H256=0,C255=Summary!$P$2),Summary!$Q$2,IF(AND(H256=0,C255=Summary!$Q$2),Summary!$R$2,C255))</f>
        <v>Neesha</v>
      </c>
      <c r="D256" t="str">
        <f>IF(C256=Summary!$P$26,VLOOKUP(Summary!M263,Summary!$Q$26:$R$27,2),IF('Run Data'!C256=Summary!$P$28,VLOOKUP(Summary!M263,Summary!$Q$28:$R$29,2),VLOOKUP(Summary!M263,Summary!$Q$30:$R$32,2)))</f>
        <v>Sprig 1</v>
      </c>
      <c r="E256" t="str">
        <f>VLOOKUP(Summary!M266,Summary!$P$42:$Q$43,2)</f>
        <v>86</v>
      </c>
      <c r="F256">
        <f>IF(LEFT(A256,3)="B60",20,IF(LEFT(A256,3)="B12",30,25))+B256*0.5+INT(Summary!M269*20)</f>
        <v>383</v>
      </c>
      <c r="G256">
        <f>ROUND(IF(OR(ISERROR(FIND(Summary!$P$89,CONCATENATE(C256,D256,E256))),ISERROR(FIND(Summary!$Q$89,A256))),Summary!$R$45,IF(H256&gt;Summary!$V$3,Summary!$R$46,Summary!$R$45))*(B256+30),0)</f>
        <v>88</v>
      </c>
      <c r="H256">
        <f>IF(H255&gt;Summary!$V$4,0,H255+F255)</f>
        <v>97359</v>
      </c>
      <c r="I256" s="26">
        <f>DATE(YEAR(Summary!$V$2),MONTH(Summary!$V$2),DAY(Summary!$V$2)+INT(H256/480))</f>
        <v>43792</v>
      </c>
      <c r="J256" s="27">
        <f t="shared" si="4"/>
        <v>0.61041666666666672</v>
      </c>
    </row>
    <row r="257" spans="1:10">
      <c r="A257" t="str">
        <f>VLOOKUP(Summary!M256,Summary!$P$13:$Q$24,2)</f>
        <v>B1200-sky</v>
      </c>
      <c r="B257">
        <f>ROUND(NORMINV(Summary!M258,VLOOKUP(A257,Summary!$Q$13:$S$24,3,FALSE),VLOOKUP(A257,Summary!$Q$13:$S$24,3,FALSE)/6),-1)</f>
        <v>1120</v>
      </c>
      <c r="C257" t="str">
        <f>IF(AND(H257=0,C256=Summary!$P$2),Summary!$Q$2,IF(AND(H257=0,C256=Summary!$Q$2),Summary!$R$2,C256))</f>
        <v>Neesha</v>
      </c>
      <c r="D257" t="str">
        <f>IF(C257=Summary!$P$26,VLOOKUP(Summary!M264,Summary!$Q$26:$R$27,2),IF('Run Data'!C257=Summary!$P$28,VLOOKUP(Summary!M264,Summary!$Q$28:$R$29,2),VLOOKUP(Summary!M264,Summary!$Q$30:$R$32,2)))</f>
        <v>Sprig 1</v>
      </c>
      <c r="E257" t="str">
        <f>VLOOKUP(Summary!M267,Summary!$P$42:$Q$43,2)</f>
        <v>86</v>
      </c>
      <c r="F257">
        <f>IF(LEFT(A257,3)="B60",20,IF(LEFT(A257,3)="B12",30,25))+B257*0.5+INT(Summary!M270*20)</f>
        <v>598</v>
      </c>
      <c r="G257">
        <f>ROUND(IF(OR(ISERROR(FIND(Summary!$P$89,CONCATENATE(C257,D257,E257))),ISERROR(FIND(Summary!$Q$89,A257))),Summary!$R$45,IF(H257&gt;Summary!$V$3,Summary!$R$46,Summary!$R$45))*(B257+30),0)</f>
        <v>12</v>
      </c>
      <c r="H257">
        <f>IF(H256&gt;Summary!$V$4,0,H256+F256)</f>
        <v>97742</v>
      </c>
      <c r="I257" s="26">
        <f>DATE(YEAR(Summary!$V$2),MONTH(Summary!$V$2),DAY(Summary!$V$2)+INT(H257/480))</f>
        <v>43793</v>
      </c>
      <c r="J257" s="27">
        <f t="shared" si="4"/>
        <v>0.54305555555555551</v>
      </c>
    </row>
    <row r="258" spans="1:10">
      <c r="A258" t="str">
        <f>VLOOKUP(Summary!M257,Summary!$P$13:$Q$24,2)</f>
        <v>B1200-sky</v>
      </c>
      <c r="B258">
        <f>ROUND(NORMINV(Summary!M259,VLOOKUP(A258,Summary!$Q$13:$S$24,3,FALSE),VLOOKUP(A258,Summary!$Q$13:$S$24,3,FALSE)/6),-1)</f>
        <v>960</v>
      </c>
      <c r="C258" t="str">
        <f>IF(AND(H258=0,C257=Summary!$P$2),Summary!$Q$2,IF(AND(H258=0,C257=Summary!$Q$2),Summary!$R$2,C257))</f>
        <v>Neesha</v>
      </c>
      <c r="D258" t="str">
        <f>IF(C258=Summary!$P$26,VLOOKUP(Summary!M265,Summary!$Q$26:$R$27,2),IF('Run Data'!C258=Summary!$P$28,VLOOKUP(Summary!M265,Summary!$Q$28:$R$29,2),VLOOKUP(Summary!M265,Summary!$Q$30:$R$32,2)))</f>
        <v>Sprig 1</v>
      </c>
      <c r="E258" t="str">
        <f>VLOOKUP(Summary!M268,Summary!$P$42:$Q$43,2)</f>
        <v>86</v>
      </c>
      <c r="F258">
        <f>IF(LEFT(A258,3)="B60",20,IF(LEFT(A258,3)="B12",30,25))+B258*0.5+INT(Summary!M271*20)</f>
        <v>511</v>
      </c>
      <c r="G258">
        <f>ROUND(IF(OR(ISERROR(FIND(Summary!$P$89,CONCATENATE(C258,D258,E258))),ISERROR(FIND(Summary!$Q$89,A258))),Summary!$R$45,IF(H258&gt;Summary!$V$3,Summary!$R$46,Summary!$R$45))*(B258+30),0)</f>
        <v>10</v>
      </c>
      <c r="H258">
        <f>IF(H257&gt;Summary!$V$4,0,H257+F257)</f>
        <v>98340</v>
      </c>
      <c r="I258" s="26">
        <f>DATE(YEAR(Summary!$V$2),MONTH(Summary!$V$2),DAY(Summary!$V$2)+INT(H258/480))</f>
        <v>43794</v>
      </c>
      <c r="J258" s="27">
        <f t="shared" si="4"/>
        <v>0.625</v>
      </c>
    </row>
    <row r="259" spans="1:10">
      <c r="A259" t="str">
        <f>VLOOKUP(Summary!M258,Summary!$P$13:$Q$24,2)</f>
        <v>B1200-sky</v>
      </c>
      <c r="B259">
        <f>ROUND(NORMINV(Summary!M260,VLOOKUP(A259,Summary!$Q$13:$S$24,3,FALSE),VLOOKUP(A259,Summary!$Q$13:$S$24,3,FALSE)/6),-1)</f>
        <v>1250</v>
      </c>
      <c r="C259" t="str">
        <f>IF(AND(H259=0,C258=Summary!$P$2),Summary!$Q$2,IF(AND(H259=0,C258=Summary!$Q$2),Summary!$R$2,C258))</f>
        <v>Neesha</v>
      </c>
      <c r="D259" t="str">
        <f>IF(C259=Summary!$P$26,VLOOKUP(Summary!M266,Summary!$Q$26:$R$27,2),IF('Run Data'!C259=Summary!$P$28,VLOOKUP(Summary!M266,Summary!$Q$28:$R$29,2),VLOOKUP(Summary!M266,Summary!$Q$30:$R$32,2)))</f>
        <v>Sprig 1</v>
      </c>
      <c r="E259" t="str">
        <f>VLOOKUP(Summary!M269,Summary!$P$42:$Q$43,2)</f>
        <v>86</v>
      </c>
      <c r="F259">
        <f>IF(LEFT(A259,3)="B60",20,IF(LEFT(A259,3)="B12",30,25))+B259*0.5+INT(Summary!M272*20)</f>
        <v>674</v>
      </c>
      <c r="G259">
        <f>ROUND(IF(OR(ISERROR(FIND(Summary!$P$89,CONCATENATE(C259,D259,E259))),ISERROR(FIND(Summary!$Q$89,A259))),Summary!$R$45,IF(H259&gt;Summary!$V$3,Summary!$R$46,Summary!$R$45))*(B259+30),0)</f>
        <v>13</v>
      </c>
      <c r="H259">
        <f>IF(H258&gt;Summary!$V$4,0,H258+F258)</f>
        <v>98851</v>
      </c>
      <c r="I259" s="26">
        <f>DATE(YEAR(Summary!$V$2),MONTH(Summary!$V$2),DAY(Summary!$V$2)+INT(H259/480))</f>
        <v>43795</v>
      </c>
      <c r="J259" s="27">
        <f t="shared" si="4"/>
        <v>0.64652777777777781</v>
      </c>
    </row>
    <row r="260" spans="1:10">
      <c r="A260" t="str">
        <f>VLOOKUP(Summary!M259,Summary!$P$13:$Q$24,2)</f>
        <v>B600-fire</v>
      </c>
      <c r="B260">
        <f>ROUND(NORMINV(Summary!M261,VLOOKUP(A260,Summary!$Q$13:$S$24,3,FALSE),VLOOKUP(A260,Summary!$Q$13:$S$24,3,FALSE)/6),-1)</f>
        <v>460</v>
      </c>
      <c r="C260" t="str">
        <f>IF(AND(H260=0,C259=Summary!$P$2),Summary!$Q$2,IF(AND(H260=0,C259=Summary!$Q$2),Summary!$R$2,C259))</f>
        <v>Neesha</v>
      </c>
      <c r="D260" t="str">
        <f>IF(C260=Summary!$P$26,VLOOKUP(Summary!M267,Summary!$Q$26:$R$27,2),IF('Run Data'!C260=Summary!$P$28,VLOOKUP(Summary!M267,Summary!$Q$28:$R$29,2),VLOOKUP(Summary!M267,Summary!$Q$30:$R$32,2)))</f>
        <v>Sprig 1</v>
      </c>
      <c r="E260" t="str">
        <f>VLOOKUP(Summary!M270,Summary!$P$42:$Q$43,2)</f>
        <v>86</v>
      </c>
      <c r="F260">
        <f>IF(LEFT(A260,3)="B60",20,IF(LEFT(A260,3)="B12",30,25))+B260*0.5+INT(Summary!M273*20)</f>
        <v>252</v>
      </c>
      <c r="G260">
        <f>ROUND(IF(OR(ISERROR(FIND(Summary!$P$89,CONCATENATE(C260,D260,E260))),ISERROR(FIND(Summary!$Q$89,A260))),Summary!$R$45,IF(H260&gt;Summary!$V$3,Summary!$R$46,Summary!$R$45))*(B260+30),0)</f>
        <v>5</v>
      </c>
      <c r="H260">
        <f>IF(H259&gt;Summary!$V$4,0,H259+F259)</f>
        <v>99525</v>
      </c>
      <c r="I260" s="26">
        <f>DATE(YEAR(Summary!$V$2),MONTH(Summary!$V$2),DAY(Summary!$V$2)+INT(H260/480))</f>
        <v>43797</v>
      </c>
      <c r="J260" s="27">
        <f t="shared" si="4"/>
        <v>0.44791666666666669</v>
      </c>
    </row>
    <row r="261" spans="1:10">
      <c r="A261" t="str">
        <f>VLOOKUP(Summary!M260,Summary!$P$13:$Q$24,2)</f>
        <v>B1200-lime</v>
      </c>
      <c r="B261">
        <f>ROUND(NORMINV(Summary!M262,VLOOKUP(A261,Summary!$Q$13:$S$24,3,FALSE),VLOOKUP(A261,Summary!$Q$13:$S$24,3,FALSE)/6),-1)</f>
        <v>660</v>
      </c>
      <c r="C261" t="str">
        <f>IF(AND(H261=0,C260=Summary!$P$2),Summary!$Q$2,IF(AND(H261=0,C260=Summary!$Q$2),Summary!$R$2,C260))</f>
        <v>Neesha</v>
      </c>
      <c r="D261" t="str">
        <f>IF(C261=Summary!$P$26,VLOOKUP(Summary!M268,Summary!$Q$26:$R$27,2),IF('Run Data'!C261=Summary!$P$28,VLOOKUP(Summary!M268,Summary!$Q$28:$R$29,2),VLOOKUP(Summary!M268,Summary!$Q$30:$R$32,2)))</f>
        <v>Sprig 1</v>
      </c>
      <c r="E261" t="str">
        <f>VLOOKUP(Summary!M271,Summary!$P$42:$Q$43,2)</f>
        <v>86</v>
      </c>
      <c r="F261">
        <f>IF(LEFT(A261,3)="B60",20,IF(LEFT(A261,3)="B12",30,25))+B261*0.5+INT(Summary!M274*20)</f>
        <v>363</v>
      </c>
      <c r="G261">
        <f>ROUND(IF(OR(ISERROR(FIND(Summary!$P$89,CONCATENATE(C261,D261,E261))),ISERROR(FIND(Summary!$Q$89,A261))),Summary!$R$45,IF(H261&gt;Summary!$V$3,Summary!$R$46,Summary!$R$45))*(B261+30),0)</f>
        <v>7</v>
      </c>
      <c r="H261">
        <f>IF(H260&gt;Summary!$V$4,0,H260+F260)</f>
        <v>99777</v>
      </c>
      <c r="I261" s="26">
        <f>DATE(YEAR(Summary!$V$2),MONTH(Summary!$V$2),DAY(Summary!$V$2)+INT(H261/480))</f>
        <v>43797</v>
      </c>
      <c r="J261" s="27">
        <f t="shared" si="4"/>
        <v>0.62291666666666667</v>
      </c>
    </row>
    <row r="262" spans="1:10">
      <c r="A262" t="str">
        <f>VLOOKUP(Summary!M261,Summary!$P$13:$Q$24,2)</f>
        <v>B1700-sky</v>
      </c>
      <c r="B262">
        <f>ROUND(NORMINV(Summary!M263,VLOOKUP(A262,Summary!$Q$13:$S$24,3,FALSE),VLOOKUP(A262,Summary!$Q$13:$S$24,3,FALSE)/6),-1)</f>
        <v>510</v>
      </c>
      <c r="C262" t="str">
        <f>IF(AND(H262=0,C261=Summary!$P$2),Summary!$Q$2,IF(AND(H262=0,C261=Summary!$Q$2),Summary!$R$2,C261))</f>
        <v>Neesha</v>
      </c>
      <c r="D262" t="str">
        <f>IF(C262=Summary!$P$26,VLOOKUP(Summary!M269,Summary!$Q$26:$R$27,2),IF('Run Data'!C262=Summary!$P$28,VLOOKUP(Summary!M269,Summary!$Q$28:$R$29,2),VLOOKUP(Summary!M269,Summary!$Q$30:$R$32,2)))</f>
        <v>Sprig 1</v>
      </c>
      <c r="E262" t="str">
        <f>VLOOKUP(Summary!M272,Summary!$P$42:$Q$43,2)</f>
        <v>87b</v>
      </c>
      <c r="F262">
        <f>IF(LEFT(A262,3)="B60",20,IF(LEFT(A262,3)="B12",30,25))+B262*0.5+INT(Summary!M275*20)</f>
        <v>288</v>
      </c>
      <c r="G262">
        <f>ROUND(IF(OR(ISERROR(FIND(Summary!$P$89,CONCATENATE(C262,D262,E262))),ISERROR(FIND(Summary!$Q$89,A262))),Summary!$R$45,IF(H262&gt;Summary!$V$3,Summary!$R$46,Summary!$R$45))*(B262+30),0)</f>
        <v>5</v>
      </c>
      <c r="H262">
        <f>IF(H261&gt;Summary!$V$4,0,H261+F261)</f>
        <v>100140</v>
      </c>
      <c r="I262" s="26">
        <f>DATE(YEAR(Summary!$V$2),MONTH(Summary!$V$2),DAY(Summary!$V$2)+INT(H262/480))</f>
        <v>43798</v>
      </c>
      <c r="J262" s="27">
        <f t="shared" si="4"/>
        <v>0.54166666666666663</v>
      </c>
    </row>
    <row r="263" spans="1:10">
      <c r="A263" t="str">
        <f>VLOOKUP(Summary!M262,Summary!$P$13:$Q$24,2)</f>
        <v>B600-fire</v>
      </c>
      <c r="B263">
        <f>ROUND(NORMINV(Summary!M264,VLOOKUP(A263,Summary!$Q$13:$S$24,3,FALSE),VLOOKUP(A263,Summary!$Q$13:$S$24,3,FALSE)/6),-1)</f>
        <v>340</v>
      </c>
      <c r="C263" t="str">
        <f>IF(AND(H263=0,C262=Summary!$P$2),Summary!$Q$2,IF(AND(H263=0,C262=Summary!$Q$2),Summary!$R$2,C262))</f>
        <v>Neesha</v>
      </c>
      <c r="D263" t="str">
        <f>IF(C263=Summary!$P$26,VLOOKUP(Summary!M270,Summary!$Q$26:$R$27,2),IF('Run Data'!C263=Summary!$P$28,VLOOKUP(Summary!M270,Summary!$Q$28:$R$29,2),VLOOKUP(Summary!M270,Summary!$Q$30:$R$32,2)))</f>
        <v>Sprig 1</v>
      </c>
      <c r="E263" t="str">
        <f>VLOOKUP(Summary!M273,Summary!$P$42:$Q$43,2)</f>
        <v>86</v>
      </c>
      <c r="F263">
        <f>IF(LEFT(A263,3)="B60",20,IF(LEFT(A263,3)="B12",30,25))+B263*0.5+INT(Summary!M276*20)</f>
        <v>208</v>
      </c>
      <c r="G263">
        <f>ROUND(IF(OR(ISERROR(FIND(Summary!$P$89,CONCATENATE(C263,D263,E263))),ISERROR(FIND(Summary!$Q$89,A263))),Summary!$R$45,IF(H263&gt;Summary!$V$3,Summary!$R$46,Summary!$R$45))*(B263+30),0)</f>
        <v>4</v>
      </c>
      <c r="H263">
        <f>IF(H262&gt;Summary!$V$4,0,H262+F262)</f>
        <v>100428</v>
      </c>
      <c r="I263" s="26">
        <f>DATE(YEAR(Summary!$V$2),MONTH(Summary!$V$2),DAY(Summary!$V$2)+INT(H263/480))</f>
        <v>43799</v>
      </c>
      <c r="J263" s="27">
        <f t="shared" si="4"/>
        <v>0.40833333333333338</v>
      </c>
    </row>
    <row r="264" spans="1:10">
      <c r="A264" t="str">
        <f>VLOOKUP(Summary!M263,Summary!$P$13:$Q$24,2)</f>
        <v>B1200-sky</v>
      </c>
      <c r="B264">
        <f>ROUND(NORMINV(Summary!M265,VLOOKUP(A264,Summary!$Q$13:$S$24,3,FALSE),VLOOKUP(A264,Summary!$Q$13:$S$24,3,FALSE)/6),-1)</f>
        <v>1230</v>
      </c>
      <c r="C264" t="str">
        <f>IF(AND(H264=0,C263=Summary!$P$2),Summary!$Q$2,IF(AND(H264=0,C263=Summary!$Q$2),Summary!$R$2,C263))</f>
        <v>Neesha</v>
      </c>
      <c r="D264" t="str">
        <f>IF(C264=Summary!$P$26,VLOOKUP(Summary!M271,Summary!$Q$26:$R$27,2),IF('Run Data'!C264=Summary!$P$28,VLOOKUP(Summary!M271,Summary!$Q$28:$R$29,2),VLOOKUP(Summary!M271,Summary!$Q$30:$R$32,2)))</f>
        <v>Sprig 1</v>
      </c>
      <c r="E264" t="str">
        <f>VLOOKUP(Summary!M274,Summary!$P$42:$Q$43,2)</f>
        <v>86</v>
      </c>
      <c r="F264">
        <f>IF(LEFT(A264,3)="B60",20,IF(LEFT(A264,3)="B12",30,25))+B264*0.5+INT(Summary!M277*20)</f>
        <v>660</v>
      </c>
      <c r="G264">
        <f>ROUND(IF(OR(ISERROR(FIND(Summary!$P$89,CONCATENATE(C264,D264,E264))),ISERROR(FIND(Summary!$Q$89,A264))),Summary!$R$45,IF(H264&gt;Summary!$V$3,Summary!$R$46,Summary!$R$45))*(B264+30),0)</f>
        <v>13</v>
      </c>
      <c r="H264">
        <f>IF(H263&gt;Summary!$V$4,0,H263+F263)</f>
        <v>100636</v>
      </c>
      <c r="I264" s="26">
        <f>DATE(YEAR(Summary!$V$2),MONTH(Summary!$V$2),DAY(Summary!$V$2)+INT(H264/480))</f>
        <v>43799</v>
      </c>
      <c r="J264" s="27">
        <f t="shared" si="4"/>
        <v>0.55277777777777781</v>
      </c>
    </row>
    <row r="265" spans="1:10">
      <c r="A265" t="str">
        <f>VLOOKUP(Summary!M264,Summary!$P$13:$Q$24,2)</f>
        <v>B600-lime</v>
      </c>
      <c r="B265">
        <f>ROUND(NORMINV(Summary!M266,VLOOKUP(A265,Summary!$Q$13:$S$24,3,FALSE),VLOOKUP(A265,Summary!$Q$13:$S$24,3,FALSE)/6),-1)</f>
        <v>310</v>
      </c>
      <c r="C265" t="str">
        <f>IF(AND(H265=0,C264=Summary!$P$2),Summary!$Q$2,IF(AND(H265=0,C264=Summary!$Q$2),Summary!$R$2,C264))</f>
        <v>Neesha</v>
      </c>
      <c r="D265" t="str">
        <f>IF(C265=Summary!$P$26,VLOOKUP(Summary!M272,Summary!$Q$26:$R$27,2),IF('Run Data'!C265=Summary!$P$28,VLOOKUP(Summary!M272,Summary!$Q$28:$R$29,2),VLOOKUP(Summary!M272,Summary!$Q$30:$R$32,2)))</f>
        <v>Sprig 4</v>
      </c>
      <c r="E265" t="str">
        <f>VLOOKUP(Summary!M275,Summary!$P$42:$Q$43,2)</f>
        <v>86</v>
      </c>
      <c r="F265">
        <f>IF(LEFT(A265,3)="B60",20,IF(LEFT(A265,3)="B12",30,25))+B265*0.5+INT(Summary!M278*20)</f>
        <v>186</v>
      </c>
      <c r="G265">
        <f>ROUND(IF(OR(ISERROR(FIND(Summary!$P$89,CONCATENATE(C265,D265,E265))),ISERROR(FIND(Summary!$Q$89,A265))),Summary!$R$45,IF(H265&gt;Summary!$V$3,Summary!$R$46,Summary!$R$45))*(B265+30),0)</f>
        <v>3</v>
      </c>
      <c r="H265">
        <f>IF(H264&gt;Summary!$V$4,0,H264+F264)</f>
        <v>101296</v>
      </c>
      <c r="I265" s="26">
        <f>DATE(YEAR(Summary!$V$2),MONTH(Summary!$V$2),DAY(Summary!$V$2)+INT(H265/480))</f>
        <v>43801</v>
      </c>
      <c r="J265" s="27">
        <f t="shared" si="4"/>
        <v>0.3444444444444445</v>
      </c>
    </row>
    <row r="266" spans="1:10">
      <c r="A266" t="str">
        <f>VLOOKUP(Summary!M265,Summary!$P$13:$Q$24,2)</f>
        <v>B1200-lime</v>
      </c>
      <c r="B266">
        <f>ROUND(NORMINV(Summary!M267,VLOOKUP(A266,Summary!$Q$13:$S$24,3,FALSE),VLOOKUP(A266,Summary!$Q$13:$S$24,3,FALSE)/6),-1)</f>
        <v>740</v>
      </c>
      <c r="C266" t="str">
        <f>IF(AND(H266=0,C265=Summary!$P$2),Summary!$Q$2,IF(AND(H266=0,C265=Summary!$Q$2),Summary!$R$2,C265))</f>
        <v>Neesha</v>
      </c>
      <c r="D266" t="str">
        <f>IF(C266=Summary!$P$26,VLOOKUP(Summary!M273,Summary!$Q$26:$R$27,2),IF('Run Data'!C266=Summary!$P$28,VLOOKUP(Summary!M273,Summary!$Q$28:$R$29,2),VLOOKUP(Summary!M273,Summary!$Q$30:$R$32,2)))</f>
        <v>Sprig 1</v>
      </c>
      <c r="E266" t="str">
        <f>VLOOKUP(Summary!M276,Summary!$P$42:$Q$43,2)</f>
        <v>87b</v>
      </c>
      <c r="F266">
        <f>IF(LEFT(A266,3)="B60",20,IF(LEFT(A266,3)="B12",30,25))+B266*0.5+INT(Summary!M279*20)</f>
        <v>404</v>
      </c>
      <c r="G266">
        <f>ROUND(IF(OR(ISERROR(FIND(Summary!$P$89,CONCATENATE(C266,D266,E266))),ISERROR(FIND(Summary!$Q$89,A266))),Summary!$R$45,IF(H266&gt;Summary!$V$3,Summary!$R$46,Summary!$R$45))*(B266+30),0)</f>
        <v>8</v>
      </c>
      <c r="H266">
        <f>IF(H265&gt;Summary!$V$4,0,H265+F265)</f>
        <v>101482</v>
      </c>
      <c r="I266" s="26">
        <f>DATE(YEAR(Summary!$V$2),MONTH(Summary!$V$2),DAY(Summary!$V$2)+INT(H266/480))</f>
        <v>43801</v>
      </c>
      <c r="J266" s="27">
        <f t="shared" si="4"/>
        <v>0.47361111111111115</v>
      </c>
    </row>
    <row r="267" spans="1:10">
      <c r="A267" t="str">
        <f>VLOOKUP(Summary!M266,Summary!$P$13:$Q$24,2)</f>
        <v>B1200-lime</v>
      </c>
      <c r="B267">
        <f>ROUND(NORMINV(Summary!M268,VLOOKUP(A267,Summary!$Q$13:$S$24,3,FALSE),VLOOKUP(A267,Summary!$Q$13:$S$24,3,FALSE)/6),-1)</f>
        <v>550</v>
      </c>
      <c r="C267" t="str">
        <f>IF(AND(H267=0,C266=Summary!$P$2),Summary!$Q$2,IF(AND(H267=0,C266=Summary!$Q$2),Summary!$R$2,C266))</f>
        <v>Neesha</v>
      </c>
      <c r="D267" t="str">
        <f>IF(C267=Summary!$P$26,VLOOKUP(Summary!M274,Summary!$Q$26:$R$27,2),IF('Run Data'!C267=Summary!$P$28,VLOOKUP(Summary!M274,Summary!$Q$28:$R$29,2),VLOOKUP(Summary!M274,Summary!$Q$30:$R$32,2)))</f>
        <v>Sprig 1</v>
      </c>
      <c r="E267" t="str">
        <f>VLOOKUP(Summary!M277,Summary!$P$42:$Q$43,2)</f>
        <v>86</v>
      </c>
      <c r="F267">
        <f>IF(LEFT(A267,3)="B60",20,IF(LEFT(A267,3)="B12",30,25))+B267*0.5+INT(Summary!M280*20)</f>
        <v>311</v>
      </c>
      <c r="G267">
        <f>ROUND(IF(OR(ISERROR(FIND(Summary!$P$89,CONCATENATE(C267,D267,E267))),ISERROR(FIND(Summary!$Q$89,A267))),Summary!$R$45,IF(H267&gt;Summary!$V$3,Summary!$R$46,Summary!$R$45))*(B267+30),0)</f>
        <v>6</v>
      </c>
      <c r="H267">
        <f>IF(H266&gt;Summary!$V$4,0,H266+F266)</f>
        <v>101886</v>
      </c>
      <c r="I267" s="26">
        <f>DATE(YEAR(Summary!$V$2),MONTH(Summary!$V$2),DAY(Summary!$V$2)+INT(H267/480))</f>
        <v>43802</v>
      </c>
      <c r="J267" s="27">
        <f t="shared" si="4"/>
        <v>0.42083333333333334</v>
      </c>
    </row>
    <row r="268" spans="1:10">
      <c r="A268" t="str">
        <f>VLOOKUP(Summary!M267,Summary!$P$13:$Q$24,2)</f>
        <v>B1200-plum</v>
      </c>
      <c r="B268">
        <f>ROUND(NORMINV(Summary!M269,VLOOKUP(A268,Summary!$Q$13:$S$24,3,FALSE),VLOOKUP(A268,Summary!$Q$13:$S$24,3,FALSE)/6),-1)</f>
        <v>430</v>
      </c>
      <c r="C268" t="str">
        <f>IF(AND(H268=0,C267=Summary!$P$2),Summary!$Q$2,IF(AND(H268=0,C267=Summary!$Q$2),Summary!$R$2,C267))</f>
        <v>Neesha</v>
      </c>
      <c r="D268" t="str">
        <f>IF(C268=Summary!$P$26,VLOOKUP(Summary!M275,Summary!$Q$26:$R$27,2),IF('Run Data'!C268=Summary!$P$28,VLOOKUP(Summary!M275,Summary!$Q$28:$R$29,2),VLOOKUP(Summary!M275,Summary!$Q$30:$R$32,2)))</f>
        <v>Sprig 1</v>
      </c>
      <c r="E268" t="str">
        <f>VLOOKUP(Summary!M278,Summary!$P$42:$Q$43,2)</f>
        <v>86</v>
      </c>
      <c r="F268">
        <f>IF(LEFT(A268,3)="B60",20,IF(LEFT(A268,3)="B12",30,25))+B268*0.5+INT(Summary!M281*20)</f>
        <v>257</v>
      </c>
      <c r="G268">
        <f>ROUND(IF(OR(ISERROR(FIND(Summary!$P$89,CONCATENATE(C268,D268,E268))),ISERROR(FIND(Summary!$Q$89,A268))),Summary!$R$45,IF(H268&gt;Summary!$V$3,Summary!$R$46,Summary!$R$45))*(B268+30),0)</f>
        <v>5</v>
      </c>
      <c r="H268">
        <f>IF(H267&gt;Summary!$V$4,0,H267+F267)</f>
        <v>102197</v>
      </c>
      <c r="I268" s="26">
        <f>DATE(YEAR(Summary!$V$2),MONTH(Summary!$V$2),DAY(Summary!$V$2)+INT(H268/480))</f>
        <v>43802</v>
      </c>
      <c r="J268" s="27">
        <f t="shared" si="4"/>
        <v>0.63680555555555551</v>
      </c>
    </row>
    <row r="269" spans="1:10">
      <c r="A269" t="str">
        <f>VLOOKUP(Summary!M268,Summary!$P$13:$Q$24,2)</f>
        <v>B600-plum</v>
      </c>
      <c r="B269">
        <f>ROUND(NORMINV(Summary!M270,VLOOKUP(A269,Summary!$Q$13:$S$24,3,FALSE),VLOOKUP(A269,Summary!$Q$13:$S$24,3,FALSE)/6),-1)</f>
        <v>190</v>
      </c>
      <c r="C269" t="str">
        <f>IF(AND(H269=0,C268=Summary!$P$2),Summary!$Q$2,IF(AND(H269=0,C268=Summary!$Q$2),Summary!$R$2,C268))</f>
        <v>Neesha</v>
      </c>
      <c r="D269" t="str">
        <f>IF(C269=Summary!$P$26,VLOOKUP(Summary!M276,Summary!$Q$26:$R$27,2),IF('Run Data'!C269=Summary!$P$28,VLOOKUP(Summary!M276,Summary!$Q$28:$R$29,2),VLOOKUP(Summary!M276,Summary!$Q$30:$R$32,2)))</f>
        <v>Sprig 4</v>
      </c>
      <c r="E269" t="str">
        <f>VLOOKUP(Summary!M279,Summary!$P$42:$Q$43,2)</f>
        <v>86</v>
      </c>
      <c r="F269">
        <f>IF(LEFT(A269,3)="B60",20,IF(LEFT(A269,3)="B12",30,25))+B269*0.5+INT(Summary!M282*20)</f>
        <v>129</v>
      </c>
      <c r="G269">
        <f>ROUND(IF(OR(ISERROR(FIND(Summary!$P$89,CONCATENATE(C269,D269,E269))),ISERROR(FIND(Summary!$Q$89,A269))),Summary!$R$45,IF(H269&gt;Summary!$V$3,Summary!$R$46,Summary!$R$45))*(B269+30),0)</f>
        <v>2</v>
      </c>
      <c r="H269">
        <f>IF(H268&gt;Summary!$V$4,0,H268+F268)</f>
        <v>102454</v>
      </c>
      <c r="I269" s="26">
        <f>DATE(YEAR(Summary!$V$2),MONTH(Summary!$V$2),DAY(Summary!$V$2)+INT(H269/480))</f>
        <v>43803</v>
      </c>
      <c r="J269" s="27">
        <f t="shared" si="4"/>
        <v>0.48194444444444445</v>
      </c>
    </row>
    <row r="270" spans="1:10">
      <c r="A270" t="str">
        <f>VLOOKUP(Summary!M269,Summary!$P$13:$Q$24,2)</f>
        <v>B1200-sky</v>
      </c>
      <c r="B270">
        <f>ROUND(NORMINV(Summary!M271,VLOOKUP(A270,Summary!$Q$13:$S$24,3,FALSE),VLOOKUP(A270,Summary!$Q$13:$S$24,3,FALSE)/6),-1)</f>
        <v>880</v>
      </c>
      <c r="C270" t="str">
        <f>IF(AND(H270=0,C269=Summary!$P$2),Summary!$Q$2,IF(AND(H270=0,C269=Summary!$Q$2),Summary!$R$2,C269))</f>
        <v>Neesha</v>
      </c>
      <c r="D270" t="str">
        <f>IF(C270=Summary!$P$26,VLOOKUP(Summary!M277,Summary!$Q$26:$R$27,2),IF('Run Data'!C270=Summary!$P$28,VLOOKUP(Summary!M277,Summary!$Q$28:$R$29,2),VLOOKUP(Summary!M277,Summary!$Q$30:$R$32,2)))</f>
        <v>Sprig 4</v>
      </c>
      <c r="E270" t="str">
        <f>VLOOKUP(Summary!M280,Summary!$P$42:$Q$43,2)</f>
        <v>86</v>
      </c>
      <c r="F270">
        <f>IF(LEFT(A270,3)="B60",20,IF(LEFT(A270,3)="B12",30,25))+B270*0.5+INT(Summary!M283*20)</f>
        <v>477</v>
      </c>
      <c r="G270">
        <f>ROUND(IF(OR(ISERROR(FIND(Summary!$P$89,CONCATENATE(C270,D270,E270))),ISERROR(FIND(Summary!$Q$89,A270))),Summary!$R$45,IF(H270&gt;Summary!$V$3,Summary!$R$46,Summary!$R$45))*(B270+30),0)</f>
        <v>9</v>
      </c>
      <c r="H270">
        <f>IF(H269&gt;Summary!$V$4,0,H269+F269)</f>
        <v>102583</v>
      </c>
      <c r="I270" s="26">
        <f>DATE(YEAR(Summary!$V$2),MONTH(Summary!$V$2),DAY(Summary!$V$2)+INT(H270/480))</f>
        <v>43803</v>
      </c>
      <c r="J270" s="27">
        <f t="shared" si="4"/>
        <v>0.57152777777777775</v>
      </c>
    </row>
    <row r="271" spans="1:10">
      <c r="A271" t="str">
        <f>VLOOKUP(Summary!M270,Summary!$P$13:$Q$24,2)</f>
        <v>B1200-sky</v>
      </c>
      <c r="B271">
        <f>ROUND(NORMINV(Summary!M272,VLOOKUP(A271,Summary!$Q$13:$S$24,3,FALSE),VLOOKUP(A271,Summary!$Q$13:$S$24,3,FALSE)/6),-1)</f>
        <v>1780</v>
      </c>
      <c r="C271" t="str">
        <f>IF(AND(H271=0,C270=Summary!$P$2),Summary!$Q$2,IF(AND(H271=0,C270=Summary!$Q$2),Summary!$R$2,C270))</f>
        <v>Neesha</v>
      </c>
      <c r="D271" t="str">
        <f>IF(C271=Summary!$P$26,VLOOKUP(Summary!M278,Summary!$Q$26:$R$27,2),IF('Run Data'!C271=Summary!$P$28,VLOOKUP(Summary!M278,Summary!$Q$28:$R$29,2),VLOOKUP(Summary!M278,Summary!$Q$30:$R$32,2)))</f>
        <v>Sprig 1</v>
      </c>
      <c r="E271" t="str">
        <f>VLOOKUP(Summary!M281,Summary!$P$42:$Q$43,2)</f>
        <v>86</v>
      </c>
      <c r="F271">
        <f>IF(LEFT(A271,3)="B60",20,IF(LEFT(A271,3)="B12",30,25))+B271*0.5+INT(Summary!M284*20)</f>
        <v>930</v>
      </c>
      <c r="G271">
        <f>ROUND(IF(OR(ISERROR(FIND(Summary!$P$89,CONCATENATE(C271,D271,E271))),ISERROR(FIND(Summary!$Q$89,A271))),Summary!$R$45,IF(H271&gt;Summary!$V$3,Summary!$R$46,Summary!$R$45))*(B271+30),0)</f>
        <v>18</v>
      </c>
      <c r="H271">
        <f>IF(H270&gt;Summary!$V$4,0,H270+F270)</f>
        <v>103060</v>
      </c>
      <c r="I271" s="26">
        <f>DATE(YEAR(Summary!$V$2),MONTH(Summary!$V$2),DAY(Summary!$V$2)+INT(H271/480))</f>
        <v>43804</v>
      </c>
      <c r="J271" s="27">
        <f t="shared" si="4"/>
        <v>0.56944444444444442</v>
      </c>
    </row>
    <row r="272" spans="1:10">
      <c r="A272" t="str">
        <f>VLOOKUP(Summary!M271,Summary!$P$13:$Q$24,2)</f>
        <v>B600-sky</v>
      </c>
      <c r="B272">
        <f>ROUND(NORMINV(Summary!M273,VLOOKUP(A272,Summary!$Q$13:$S$24,3,FALSE),VLOOKUP(A272,Summary!$Q$13:$S$24,3,FALSE)/6),-1)</f>
        <v>410</v>
      </c>
      <c r="C272" t="str">
        <f>IF(AND(H272=0,C271=Summary!$P$2),Summary!$Q$2,IF(AND(H272=0,C271=Summary!$Q$2),Summary!$R$2,C271))</f>
        <v>Neesha</v>
      </c>
      <c r="D272" t="str">
        <f>IF(C272=Summary!$P$26,VLOOKUP(Summary!M279,Summary!$Q$26:$R$27,2),IF('Run Data'!C272=Summary!$P$28,VLOOKUP(Summary!M279,Summary!$Q$28:$R$29,2),VLOOKUP(Summary!M279,Summary!$Q$30:$R$32,2)))</f>
        <v>Sprig 1</v>
      </c>
      <c r="E272" t="str">
        <f>VLOOKUP(Summary!M282,Summary!$P$42:$Q$43,2)</f>
        <v>86</v>
      </c>
      <c r="F272">
        <f>IF(LEFT(A272,3)="B60",20,IF(LEFT(A272,3)="B12",30,25))+B272*0.5+INT(Summary!M285*20)</f>
        <v>230</v>
      </c>
      <c r="G272">
        <f>ROUND(IF(OR(ISERROR(FIND(Summary!$P$89,CONCATENATE(C272,D272,E272))),ISERROR(FIND(Summary!$Q$89,A272))),Summary!$R$45,IF(H272&gt;Summary!$V$3,Summary!$R$46,Summary!$R$45))*(B272+30),0)</f>
        <v>4</v>
      </c>
      <c r="H272">
        <f>IF(H271&gt;Summary!$V$4,0,H271+F271)</f>
        <v>103990</v>
      </c>
      <c r="I272" s="26">
        <f>DATE(YEAR(Summary!$V$2),MONTH(Summary!$V$2),DAY(Summary!$V$2)+INT(H272/480))</f>
        <v>43806</v>
      </c>
      <c r="J272" s="27">
        <f t="shared" si="4"/>
        <v>0.54861111111111105</v>
      </c>
    </row>
    <row r="273" spans="1:10">
      <c r="A273" t="str">
        <f>VLOOKUP(Summary!M272,Summary!$P$13:$Q$24,2)</f>
        <v>B1700-lime</v>
      </c>
      <c r="B273">
        <f>ROUND(NORMINV(Summary!M274,VLOOKUP(A273,Summary!$Q$13:$S$24,3,FALSE),VLOOKUP(A273,Summary!$Q$13:$S$24,3,FALSE)/6),-1)</f>
        <v>340</v>
      </c>
      <c r="C273" t="str">
        <f>IF(AND(H273=0,C272=Summary!$P$2),Summary!$Q$2,IF(AND(H273=0,C272=Summary!$Q$2),Summary!$R$2,C272))</f>
        <v>Neesha</v>
      </c>
      <c r="D273" t="str">
        <f>IF(C273=Summary!$P$26,VLOOKUP(Summary!M280,Summary!$Q$26:$R$27,2),IF('Run Data'!C273=Summary!$P$28,VLOOKUP(Summary!M280,Summary!$Q$28:$R$29,2),VLOOKUP(Summary!M280,Summary!$Q$30:$R$32,2)))</f>
        <v>Sprig 1</v>
      </c>
      <c r="E273" t="str">
        <f>VLOOKUP(Summary!M283,Summary!$P$42:$Q$43,2)</f>
        <v>86</v>
      </c>
      <c r="F273">
        <f>IF(LEFT(A273,3)="B60",20,IF(LEFT(A273,3)="B12",30,25))+B273*0.5+INT(Summary!M286*20)</f>
        <v>207</v>
      </c>
      <c r="G273">
        <f>ROUND(IF(OR(ISERROR(FIND(Summary!$P$89,CONCATENATE(C273,D273,E273))),ISERROR(FIND(Summary!$Q$89,A273))),Summary!$R$45,IF(H273&gt;Summary!$V$3,Summary!$R$46,Summary!$R$45))*(B273+30),0)</f>
        <v>44</v>
      </c>
      <c r="H273">
        <f>IF(H272&gt;Summary!$V$4,0,H272+F272)</f>
        <v>104220</v>
      </c>
      <c r="I273" s="26">
        <f>DATE(YEAR(Summary!$V$2),MONTH(Summary!$V$2),DAY(Summary!$V$2)+INT(H273/480))</f>
        <v>43807</v>
      </c>
      <c r="J273" s="27">
        <f t="shared" ref="J273:J336" si="5">TIME(INT(MOD(H273,480)/60)+8,MOD(MOD(H273,480),60),0)</f>
        <v>0.375</v>
      </c>
    </row>
    <row r="274" spans="1:10">
      <c r="A274" t="str">
        <f>VLOOKUP(Summary!M273,Summary!$P$13:$Q$24,2)</f>
        <v>B600-fire</v>
      </c>
      <c r="B274">
        <f>ROUND(NORMINV(Summary!M275,VLOOKUP(A274,Summary!$Q$13:$S$24,3,FALSE),VLOOKUP(A274,Summary!$Q$13:$S$24,3,FALSE)/6),-1)</f>
        <v>390</v>
      </c>
      <c r="C274" t="str">
        <f>IF(AND(H274=0,C273=Summary!$P$2),Summary!$Q$2,IF(AND(H274=0,C273=Summary!$Q$2),Summary!$R$2,C273))</f>
        <v>Neesha</v>
      </c>
      <c r="D274" t="str">
        <f>IF(C274=Summary!$P$26,VLOOKUP(Summary!M281,Summary!$Q$26:$R$27,2),IF('Run Data'!C274=Summary!$P$28,VLOOKUP(Summary!M281,Summary!$Q$28:$R$29,2),VLOOKUP(Summary!M281,Summary!$Q$30:$R$32,2)))</f>
        <v>Sprig 1</v>
      </c>
      <c r="E274" t="str">
        <f>VLOOKUP(Summary!M284,Summary!$P$42:$Q$43,2)</f>
        <v>86</v>
      </c>
      <c r="F274">
        <f>IF(LEFT(A274,3)="B60",20,IF(LEFT(A274,3)="B12",30,25))+B274*0.5+INT(Summary!M287*20)</f>
        <v>232</v>
      </c>
      <c r="G274">
        <f>ROUND(IF(OR(ISERROR(FIND(Summary!$P$89,CONCATENATE(C274,D274,E274))),ISERROR(FIND(Summary!$Q$89,A274))),Summary!$R$45,IF(H274&gt;Summary!$V$3,Summary!$R$46,Summary!$R$45))*(B274+30),0)</f>
        <v>4</v>
      </c>
      <c r="H274">
        <f>IF(H273&gt;Summary!$V$4,0,H273+F273)</f>
        <v>104427</v>
      </c>
      <c r="I274" s="26">
        <f>DATE(YEAR(Summary!$V$2),MONTH(Summary!$V$2),DAY(Summary!$V$2)+INT(H274/480))</f>
        <v>43807</v>
      </c>
      <c r="J274" s="27">
        <f t="shared" si="5"/>
        <v>0.51874999999999993</v>
      </c>
    </row>
    <row r="275" spans="1:10">
      <c r="A275" t="str">
        <f>VLOOKUP(Summary!M274,Summary!$P$13:$Q$24,2)</f>
        <v>B600-lime</v>
      </c>
      <c r="B275">
        <f>ROUND(NORMINV(Summary!M276,VLOOKUP(A275,Summary!$Q$13:$S$24,3,FALSE),VLOOKUP(A275,Summary!$Q$13:$S$24,3,FALSE)/6),-1)</f>
        <v>370</v>
      </c>
      <c r="C275" t="str">
        <f>IF(AND(H275=0,C274=Summary!$P$2),Summary!$Q$2,IF(AND(H275=0,C274=Summary!$Q$2),Summary!$R$2,C274))</f>
        <v>Neesha</v>
      </c>
      <c r="D275" t="str">
        <f>IF(C275=Summary!$P$26,VLOOKUP(Summary!M282,Summary!$Q$26:$R$27,2),IF('Run Data'!C275=Summary!$P$28,VLOOKUP(Summary!M282,Summary!$Q$28:$R$29,2),VLOOKUP(Summary!M282,Summary!$Q$30:$R$32,2)))</f>
        <v>Sprig 1</v>
      </c>
      <c r="E275" t="str">
        <f>VLOOKUP(Summary!M285,Summary!$P$42:$Q$43,2)</f>
        <v>86</v>
      </c>
      <c r="F275">
        <f>IF(LEFT(A275,3)="B60",20,IF(LEFT(A275,3)="B12",30,25))+B275*0.5+INT(Summary!M288*20)</f>
        <v>220</v>
      </c>
      <c r="G275">
        <f>ROUND(IF(OR(ISERROR(FIND(Summary!$P$89,CONCATENATE(C275,D275,E275))),ISERROR(FIND(Summary!$Q$89,A275))),Summary!$R$45,IF(H275&gt;Summary!$V$3,Summary!$R$46,Summary!$R$45))*(B275+30),0)</f>
        <v>4</v>
      </c>
      <c r="H275">
        <f>IF(H274&gt;Summary!$V$4,0,H274+F274)</f>
        <v>104659</v>
      </c>
      <c r="I275" s="26">
        <f>DATE(YEAR(Summary!$V$2),MONTH(Summary!$V$2),DAY(Summary!$V$2)+INT(H275/480))</f>
        <v>43808</v>
      </c>
      <c r="J275" s="27">
        <f t="shared" si="5"/>
        <v>0.34652777777777777</v>
      </c>
    </row>
    <row r="276" spans="1:10">
      <c r="A276" t="str">
        <f>VLOOKUP(Summary!M275,Summary!$P$13:$Q$24,2)</f>
        <v>B1200-sky</v>
      </c>
      <c r="B276">
        <f>ROUND(NORMINV(Summary!M277,VLOOKUP(A276,Summary!$Q$13:$S$24,3,FALSE),VLOOKUP(A276,Summary!$Q$13:$S$24,3,FALSE)/6),-1)</f>
        <v>1360</v>
      </c>
      <c r="C276" t="str">
        <f>IF(AND(H276=0,C275=Summary!$P$2),Summary!$Q$2,IF(AND(H276=0,C275=Summary!$Q$2),Summary!$R$2,C275))</f>
        <v>Neesha</v>
      </c>
      <c r="D276" t="str">
        <f>IF(C276=Summary!$P$26,VLOOKUP(Summary!M283,Summary!$Q$26:$R$27,2),IF('Run Data'!C276=Summary!$P$28,VLOOKUP(Summary!M283,Summary!$Q$28:$R$29,2),VLOOKUP(Summary!M283,Summary!$Q$30:$R$32,2)))</f>
        <v>Sprig 1</v>
      </c>
      <c r="E276" t="str">
        <f>VLOOKUP(Summary!M286,Summary!$P$42:$Q$43,2)</f>
        <v>86</v>
      </c>
      <c r="F276">
        <f>IF(LEFT(A276,3)="B60",20,IF(LEFT(A276,3)="B12",30,25))+B276*0.5+INT(Summary!M289*20)</f>
        <v>712</v>
      </c>
      <c r="G276">
        <f>ROUND(IF(OR(ISERROR(FIND(Summary!$P$89,CONCATENATE(C276,D276,E276))),ISERROR(FIND(Summary!$Q$89,A276))),Summary!$R$45,IF(H276&gt;Summary!$V$3,Summary!$R$46,Summary!$R$45))*(B276+30),0)</f>
        <v>14</v>
      </c>
      <c r="H276">
        <f>IF(H275&gt;Summary!$V$4,0,H275+F275)</f>
        <v>104879</v>
      </c>
      <c r="I276" s="26">
        <f>DATE(YEAR(Summary!$V$2),MONTH(Summary!$V$2),DAY(Summary!$V$2)+INT(H276/480))</f>
        <v>43808</v>
      </c>
      <c r="J276" s="27">
        <f t="shared" si="5"/>
        <v>0.4993055555555555</v>
      </c>
    </row>
    <row r="277" spans="1:10">
      <c r="A277" t="str">
        <f>VLOOKUP(Summary!M276,Summary!$P$13:$Q$24,2)</f>
        <v>B1700-lime</v>
      </c>
      <c r="B277">
        <f>ROUND(NORMINV(Summary!M278,VLOOKUP(A277,Summary!$Q$13:$S$24,3,FALSE),VLOOKUP(A277,Summary!$Q$13:$S$24,3,FALSE)/6),-1)</f>
        <v>410</v>
      </c>
      <c r="C277" t="str">
        <f>IF(AND(H277=0,C276=Summary!$P$2),Summary!$Q$2,IF(AND(H277=0,C276=Summary!$Q$2),Summary!$R$2,C276))</f>
        <v>Neesha</v>
      </c>
      <c r="D277" t="str">
        <f>IF(C277=Summary!$P$26,VLOOKUP(Summary!M284,Summary!$Q$26:$R$27,2),IF('Run Data'!C277=Summary!$P$28,VLOOKUP(Summary!M284,Summary!$Q$28:$R$29,2),VLOOKUP(Summary!M284,Summary!$Q$30:$R$32,2)))</f>
        <v>Sprig 1</v>
      </c>
      <c r="E277" t="str">
        <f>VLOOKUP(Summary!M287,Summary!$P$42:$Q$43,2)</f>
        <v>87b</v>
      </c>
      <c r="F277">
        <f>IF(LEFT(A277,3)="B60",20,IF(LEFT(A277,3)="B12",30,25))+B277*0.5+INT(Summary!M290*20)</f>
        <v>235</v>
      </c>
      <c r="G277">
        <f>ROUND(IF(OR(ISERROR(FIND(Summary!$P$89,CONCATENATE(C277,D277,E277))),ISERROR(FIND(Summary!$Q$89,A277))),Summary!$R$45,IF(H277&gt;Summary!$V$3,Summary!$R$46,Summary!$R$45))*(B277+30),0)</f>
        <v>4</v>
      </c>
      <c r="H277">
        <f>IF(H276&gt;Summary!$V$4,0,H276+F276)</f>
        <v>105591</v>
      </c>
      <c r="I277" s="26">
        <f>DATE(YEAR(Summary!$V$2),MONTH(Summary!$V$2),DAY(Summary!$V$2)+INT(H277/480))</f>
        <v>43809</v>
      </c>
      <c r="J277" s="27">
        <f t="shared" si="5"/>
        <v>0.66041666666666665</v>
      </c>
    </row>
    <row r="278" spans="1:10">
      <c r="A278" t="str">
        <f>VLOOKUP(Summary!M277,Summary!$P$13:$Q$24,2)</f>
        <v>B1700-sky</v>
      </c>
      <c r="B278">
        <f>ROUND(NORMINV(Summary!M279,VLOOKUP(A278,Summary!$Q$13:$S$24,3,FALSE),VLOOKUP(A278,Summary!$Q$13:$S$24,3,FALSE)/6),-1)</f>
        <v>480</v>
      </c>
      <c r="C278" t="str">
        <f>IF(AND(H278=0,C277=Summary!$P$2),Summary!$Q$2,IF(AND(H278=0,C277=Summary!$Q$2),Summary!$R$2,C277))</f>
        <v>Neesha</v>
      </c>
      <c r="D278" t="str">
        <f>IF(C278=Summary!$P$26,VLOOKUP(Summary!M285,Summary!$Q$26:$R$27,2),IF('Run Data'!C278=Summary!$P$28,VLOOKUP(Summary!M285,Summary!$Q$28:$R$29,2),VLOOKUP(Summary!M285,Summary!$Q$30:$R$32,2)))</f>
        <v>Sprig 1</v>
      </c>
      <c r="E278" t="str">
        <f>VLOOKUP(Summary!M288,Summary!$P$42:$Q$43,2)</f>
        <v>86</v>
      </c>
      <c r="F278">
        <f>IF(LEFT(A278,3)="B60",20,IF(LEFT(A278,3)="B12",30,25))+B278*0.5+INT(Summary!M291*20)</f>
        <v>275</v>
      </c>
      <c r="G278">
        <f>ROUND(IF(OR(ISERROR(FIND(Summary!$P$89,CONCATENATE(C278,D278,E278))),ISERROR(FIND(Summary!$Q$89,A278))),Summary!$R$45,IF(H278&gt;Summary!$V$3,Summary!$R$46,Summary!$R$45))*(B278+30),0)</f>
        <v>61</v>
      </c>
      <c r="H278">
        <f>IF(H277&gt;Summary!$V$4,0,H277+F277)</f>
        <v>105826</v>
      </c>
      <c r="I278" s="26">
        <f>DATE(YEAR(Summary!$V$2),MONTH(Summary!$V$2),DAY(Summary!$V$2)+INT(H278/480))</f>
        <v>43810</v>
      </c>
      <c r="J278" s="27">
        <f t="shared" si="5"/>
        <v>0.49027777777777781</v>
      </c>
    </row>
    <row r="279" spans="1:10">
      <c r="A279" t="str">
        <f>VLOOKUP(Summary!M278,Summary!$P$13:$Q$24,2)</f>
        <v>B1200-lime</v>
      </c>
      <c r="B279">
        <f>ROUND(NORMINV(Summary!M280,VLOOKUP(A279,Summary!$Q$13:$S$24,3,FALSE),VLOOKUP(A279,Summary!$Q$13:$S$24,3,FALSE)/6),-1)</f>
        <v>750</v>
      </c>
      <c r="C279" t="str">
        <f>IF(AND(H279=0,C278=Summary!$P$2),Summary!$Q$2,IF(AND(H279=0,C278=Summary!$Q$2),Summary!$R$2,C278))</f>
        <v>Neesha</v>
      </c>
      <c r="D279" t="str">
        <f>IF(C279=Summary!$P$26,VLOOKUP(Summary!M286,Summary!$Q$26:$R$27,2),IF('Run Data'!C279=Summary!$P$28,VLOOKUP(Summary!M286,Summary!$Q$28:$R$29,2),VLOOKUP(Summary!M286,Summary!$Q$30:$R$32,2)))</f>
        <v>Sprig 1</v>
      </c>
      <c r="E279" t="str">
        <f>VLOOKUP(Summary!M289,Summary!$P$42:$Q$43,2)</f>
        <v>86</v>
      </c>
      <c r="F279">
        <f>IF(LEFT(A279,3)="B60",20,IF(LEFT(A279,3)="B12",30,25))+B279*0.5+INT(Summary!M292*20)</f>
        <v>424</v>
      </c>
      <c r="G279">
        <f>ROUND(IF(OR(ISERROR(FIND(Summary!$P$89,CONCATENATE(C279,D279,E279))),ISERROR(FIND(Summary!$Q$89,A279))),Summary!$R$45,IF(H279&gt;Summary!$V$3,Summary!$R$46,Summary!$R$45))*(B279+30),0)</f>
        <v>8</v>
      </c>
      <c r="H279">
        <f>IF(H278&gt;Summary!$V$4,0,H278+F278)</f>
        <v>106101</v>
      </c>
      <c r="I279" s="26">
        <f>DATE(YEAR(Summary!$V$2),MONTH(Summary!$V$2),DAY(Summary!$V$2)+INT(H279/480))</f>
        <v>43811</v>
      </c>
      <c r="J279" s="27">
        <f t="shared" si="5"/>
        <v>0.34791666666666665</v>
      </c>
    </row>
    <row r="280" spans="1:10">
      <c r="A280" t="str">
        <f>VLOOKUP(Summary!M279,Summary!$P$13:$Q$24,2)</f>
        <v>B600-lime</v>
      </c>
      <c r="B280">
        <f>ROUND(NORMINV(Summary!M281,VLOOKUP(A280,Summary!$Q$13:$S$24,3,FALSE),VLOOKUP(A280,Summary!$Q$13:$S$24,3,FALSE)/6),-1)</f>
        <v>320</v>
      </c>
      <c r="C280" t="str">
        <f>IF(AND(H280=0,C279=Summary!$P$2),Summary!$Q$2,IF(AND(H280=0,C279=Summary!$Q$2),Summary!$R$2,C279))</f>
        <v>Neesha</v>
      </c>
      <c r="D280" t="str">
        <f>IF(C280=Summary!$P$26,VLOOKUP(Summary!M287,Summary!$Q$26:$R$27,2),IF('Run Data'!C280=Summary!$P$28,VLOOKUP(Summary!M287,Summary!$Q$28:$R$29,2),VLOOKUP(Summary!M287,Summary!$Q$30:$R$32,2)))</f>
        <v>Sprig 4</v>
      </c>
      <c r="E280" t="str">
        <f>VLOOKUP(Summary!M290,Summary!$P$42:$Q$43,2)</f>
        <v>86</v>
      </c>
      <c r="F280">
        <f>IF(LEFT(A280,3)="B60",20,IF(LEFT(A280,3)="B12",30,25))+B280*0.5+INT(Summary!M293*20)</f>
        <v>199</v>
      </c>
      <c r="G280">
        <f>ROUND(IF(OR(ISERROR(FIND(Summary!$P$89,CONCATENATE(C280,D280,E280))),ISERROR(FIND(Summary!$Q$89,A280))),Summary!$R$45,IF(H280&gt;Summary!$V$3,Summary!$R$46,Summary!$R$45))*(B280+30),0)</f>
        <v>4</v>
      </c>
      <c r="H280">
        <f>IF(H279&gt;Summary!$V$4,0,H279+F279)</f>
        <v>106525</v>
      </c>
      <c r="I280" s="26">
        <f>DATE(YEAR(Summary!$V$2),MONTH(Summary!$V$2),DAY(Summary!$V$2)+INT(H280/480))</f>
        <v>43811</v>
      </c>
      <c r="J280" s="27">
        <f t="shared" si="5"/>
        <v>0.64236111111111105</v>
      </c>
    </row>
    <row r="281" spans="1:10">
      <c r="A281" t="str">
        <f>VLOOKUP(Summary!M280,Summary!$P$13:$Q$24,2)</f>
        <v>B1200-sky</v>
      </c>
      <c r="B281">
        <f>ROUND(NORMINV(Summary!M282,VLOOKUP(A281,Summary!$Q$13:$S$24,3,FALSE),VLOOKUP(A281,Summary!$Q$13:$S$24,3,FALSE)/6),-1)</f>
        <v>1320</v>
      </c>
      <c r="C281" t="str">
        <f>IF(AND(H281=0,C280=Summary!$P$2),Summary!$Q$2,IF(AND(H281=0,C280=Summary!$Q$2),Summary!$R$2,C280))</f>
        <v>Neesha</v>
      </c>
      <c r="D281" t="str">
        <f>IF(C281=Summary!$P$26,VLOOKUP(Summary!M288,Summary!$Q$26:$R$27,2),IF('Run Data'!C281=Summary!$P$28,VLOOKUP(Summary!M288,Summary!$Q$28:$R$29,2),VLOOKUP(Summary!M288,Summary!$Q$30:$R$32,2)))</f>
        <v>Sprig 4</v>
      </c>
      <c r="E281" t="str">
        <f>VLOOKUP(Summary!M291,Summary!$P$42:$Q$43,2)</f>
        <v>86</v>
      </c>
      <c r="F281">
        <f>IF(LEFT(A281,3)="B60",20,IF(LEFT(A281,3)="B12",30,25))+B281*0.5+INT(Summary!M294*20)</f>
        <v>709</v>
      </c>
      <c r="G281">
        <f>ROUND(IF(OR(ISERROR(FIND(Summary!$P$89,CONCATENATE(C281,D281,E281))),ISERROR(FIND(Summary!$Q$89,A281))),Summary!$R$45,IF(H281&gt;Summary!$V$3,Summary!$R$46,Summary!$R$45))*(B281+30),0)</f>
        <v>14</v>
      </c>
      <c r="H281">
        <f>IF(H280&gt;Summary!$V$4,0,H280+F280)</f>
        <v>106724</v>
      </c>
      <c r="I281" s="26">
        <f>DATE(YEAR(Summary!$V$2),MONTH(Summary!$V$2),DAY(Summary!$V$2)+INT(H281/480))</f>
        <v>43812</v>
      </c>
      <c r="J281" s="27">
        <f t="shared" si="5"/>
        <v>0.44722222222222219</v>
      </c>
    </row>
    <row r="282" spans="1:10">
      <c r="A282" t="str">
        <f>VLOOKUP(Summary!M281,Summary!$P$13:$Q$24,2)</f>
        <v>B1200-lime</v>
      </c>
      <c r="B282">
        <f>ROUND(NORMINV(Summary!M283,VLOOKUP(A282,Summary!$Q$13:$S$24,3,FALSE),VLOOKUP(A282,Summary!$Q$13:$S$24,3,FALSE)/6),-1)</f>
        <v>750</v>
      </c>
      <c r="C282" t="str">
        <f>IF(AND(H282=0,C281=Summary!$P$2),Summary!$Q$2,IF(AND(H282=0,C281=Summary!$Q$2),Summary!$R$2,C281))</f>
        <v>Neesha</v>
      </c>
      <c r="D282" t="str">
        <f>IF(C282=Summary!$P$26,VLOOKUP(Summary!M289,Summary!$Q$26:$R$27,2),IF('Run Data'!C282=Summary!$P$28,VLOOKUP(Summary!M289,Summary!$Q$28:$R$29,2),VLOOKUP(Summary!M289,Summary!$Q$30:$R$32,2)))</f>
        <v>Sprig 1</v>
      </c>
      <c r="E282" t="str">
        <f>VLOOKUP(Summary!M292,Summary!$P$42:$Q$43,2)</f>
        <v>87b</v>
      </c>
      <c r="F282">
        <f>IF(LEFT(A282,3)="B60",20,IF(LEFT(A282,3)="B12",30,25))+B282*0.5+INT(Summary!M295*20)</f>
        <v>407</v>
      </c>
      <c r="G282">
        <f>ROUND(IF(OR(ISERROR(FIND(Summary!$P$89,CONCATENATE(C282,D282,E282))),ISERROR(FIND(Summary!$Q$89,A282))),Summary!$R$45,IF(H282&gt;Summary!$V$3,Summary!$R$46,Summary!$R$45))*(B282+30),0)</f>
        <v>8</v>
      </c>
      <c r="H282">
        <f>IF(H281&gt;Summary!$V$4,0,H281+F281)</f>
        <v>107433</v>
      </c>
      <c r="I282" s="26">
        <f>DATE(YEAR(Summary!$V$2),MONTH(Summary!$V$2),DAY(Summary!$V$2)+INT(H282/480))</f>
        <v>43813</v>
      </c>
      <c r="J282" s="27">
        <f t="shared" si="5"/>
        <v>0.60625000000000007</v>
      </c>
    </row>
    <row r="283" spans="1:10">
      <c r="A283" t="str">
        <f>VLOOKUP(Summary!M282,Summary!$P$13:$Q$24,2)</f>
        <v>B1700-plum</v>
      </c>
      <c r="B283">
        <f>ROUND(NORMINV(Summary!M284,VLOOKUP(A283,Summary!$Q$13:$S$24,3,FALSE),VLOOKUP(A283,Summary!$Q$13:$S$24,3,FALSE)/6),-1)</f>
        <v>300</v>
      </c>
      <c r="C283" t="str">
        <f>IF(AND(H283=0,C282=Summary!$P$2),Summary!$Q$2,IF(AND(H283=0,C282=Summary!$Q$2),Summary!$R$2,C282))</f>
        <v>Neesha</v>
      </c>
      <c r="D283" t="str">
        <f>IF(C283=Summary!$P$26,VLOOKUP(Summary!M290,Summary!$Q$26:$R$27,2),IF('Run Data'!C283=Summary!$P$28,VLOOKUP(Summary!M290,Summary!$Q$28:$R$29,2),VLOOKUP(Summary!M290,Summary!$Q$30:$R$32,2)))</f>
        <v>Sprig 1</v>
      </c>
      <c r="E283" t="str">
        <f>VLOOKUP(Summary!M293,Summary!$P$42:$Q$43,2)</f>
        <v>87b</v>
      </c>
      <c r="F283">
        <f>IF(LEFT(A283,3)="B60",20,IF(LEFT(A283,3)="B12",30,25))+B283*0.5+INT(Summary!M296*20)</f>
        <v>175</v>
      </c>
      <c r="G283">
        <f>ROUND(IF(OR(ISERROR(FIND(Summary!$P$89,CONCATENATE(C283,D283,E283))),ISERROR(FIND(Summary!$Q$89,A283))),Summary!$R$45,IF(H283&gt;Summary!$V$3,Summary!$R$46,Summary!$R$45))*(B283+30),0)</f>
        <v>3</v>
      </c>
      <c r="H283">
        <f>IF(H282&gt;Summary!$V$4,0,H282+F282)</f>
        <v>107840</v>
      </c>
      <c r="I283" s="26">
        <f>DATE(YEAR(Summary!$V$2),MONTH(Summary!$V$2),DAY(Summary!$V$2)+INT(H283/480))</f>
        <v>43814</v>
      </c>
      <c r="J283" s="27">
        <f t="shared" si="5"/>
        <v>0.55555555555555558</v>
      </c>
    </row>
    <row r="284" spans="1:10">
      <c r="A284" t="str">
        <f>VLOOKUP(Summary!M283,Summary!$P$13:$Q$24,2)</f>
        <v>B1200-sky</v>
      </c>
      <c r="B284">
        <f>ROUND(NORMINV(Summary!M285,VLOOKUP(A284,Summary!$Q$13:$S$24,3,FALSE),VLOOKUP(A284,Summary!$Q$13:$S$24,3,FALSE)/6),-1)</f>
        <v>1080</v>
      </c>
      <c r="C284" t="str">
        <f>IF(AND(H284=0,C283=Summary!$P$2),Summary!$Q$2,IF(AND(H284=0,C283=Summary!$Q$2),Summary!$R$2,C283))</f>
        <v>Neesha</v>
      </c>
      <c r="D284" t="str">
        <f>IF(C284=Summary!$P$26,VLOOKUP(Summary!M291,Summary!$Q$26:$R$27,2),IF('Run Data'!C284=Summary!$P$28,VLOOKUP(Summary!M291,Summary!$Q$28:$R$29,2),VLOOKUP(Summary!M291,Summary!$Q$30:$R$32,2)))</f>
        <v>Sprig 1</v>
      </c>
      <c r="E284" t="str">
        <f>VLOOKUP(Summary!M294,Summary!$P$42:$Q$43,2)</f>
        <v>87b</v>
      </c>
      <c r="F284">
        <f>IF(LEFT(A284,3)="B60",20,IF(LEFT(A284,3)="B12",30,25))+B284*0.5+INT(Summary!M297*20)</f>
        <v>570</v>
      </c>
      <c r="G284">
        <f>ROUND(IF(OR(ISERROR(FIND(Summary!$P$89,CONCATENATE(C284,D284,E284))),ISERROR(FIND(Summary!$Q$89,A284))),Summary!$R$45,IF(H284&gt;Summary!$V$3,Summary!$R$46,Summary!$R$45))*(B284+30),0)</f>
        <v>11</v>
      </c>
      <c r="H284">
        <f>IF(H283&gt;Summary!$V$4,0,H283+F283)</f>
        <v>108015</v>
      </c>
      <c r="I284" s="26">
        <f>DATE(YEAR(Summary!$V$2),MONTH(Summary!$V$2),DAY(Summary!$V$2)+INT(H284/480))</f>
        <v>43815</v>
      </c>
      <c r="J284" s="27">
        <f t="shared" si="5"/>
        <v>0.34375</v>
      </c>
    </row>
    <row r="285" spans="1:10">
      <c r="A285" t="str">
        <f>VLOOKUP(Summary!M284,Summary!$P$13:$Q$24,2)</f>
        <v>B1200-fire</v>
      </c>
      <c r="B285">
        <f>ROUND(NORMINV(Summary!M286,VLOOKUP(A285,Summary!$Q$13:$S$24,3,FALSE),VLOOKUP(A285,Summary!$Q$13:$S$24,3,FALSE)/6),-1)</f>
        <v>1260</v>
      </c>
      <c r="C285" t="str">
        <f>IF(AND(H285=0,C284=Summary!$P$2),Summary!$Q$2,IF(AND(H285=0,C284=Summary!$Q$2),Summary!$R$2,C284))</f>
        <v>Neesha</v>
      </c>
      <c r="D285" t="str">
        <f>IF(C285=Summary!$P$26,VLOOKUP(Summary!M292,Summary!$Q$26:$R$27,2),IF('Run Data'!C285=Summary!$P$28,VLOOKUP(Summary!M292,Summary!$Q$28:$R$29,2),VLOOKUP(Summary!M292,Summary!$Q$30:$R$32,2)))</f>
        <v>Sprig 4</v>
      </c>
      <c r="E285" t="str">
        <f>VLOOKUP(Summary!M295,Summary!$P$42:$Q$43,2)</f>
        <v>86</v>
      </c>
      <c r="F285">
        <f>IF(LEFT(A285,3)="B60",20,IF(LEFT(A285,3)="B12",30,25))+B285*0.5+INT(Summary!M298*20)</f>
        <v>669</v>
      </c>
      <c r="G285">
        <f>ROUND(IF(OR(ISERROR(FIND(Summary!$P$89,CONCATENATE(C285,D285,E285))),ISERROR(FIND(Summary!$Q$89,A285))),Summary!$R$45,IF(H285&gt;Summary!$V$3,Summary!$R$46,Summary!$R$45))*(B285+30),0)</f>
        <v>13</v>
      </c>
      <c r="H285">
        <f>IF(H284&gt;Summary!$V$4,0,H284+F284)</f>
        <v>108585</v>
      </c>
      <c r="I285" s="26">
        <f>DATE(YEAR(Summary!$V$2),MONTH(Summary!$V$2),DAY(Summary!$V$2)+INT(H285/480))</f>
        <v>43816</v>
      </c>
      <c r="J285" s="27">
        <f t="shared" si="5"/>
        <v>0.40625</v>
      </c>
    </row>
    <row r="286" spans="1:10">
      <c r="A286" t="str">
        <f>VLOOKUP(Summary!M285,Summary!$P$13:$Q$24,2)</f>
        <v>B1200-plum</v>
      </c>
      <c r="B286">
        <f>ROUND(NORMINV(Summary!M287,VLOOKUP(A286,Summary!$Q$13:$S$24,3,FALSE),VLOOKUP(A286,Summary!$Q$13:$S$24,3,FALSE)/6),-1)</f>
        <v>540</v>
      </c>
      <c r="C286" t="str">
        <f>IF(AND(H286=0,C285=Summary!$P$2),Summary!$Q$2,IF(AND(H286=0,C285=Summary!$Q$2),Summary!$R$2,C285))</f>
        <v>Neesha</v>
      </c>
      <c r="D286" t="str">
        <f>IF(C286=Summary!$P$26,VLOOKUP(Summary!M293,Summary!$Q$26:$R$27,2),IF('Run Data'!C286=Summary!$P$28,VLOOKUP(Summary!M293,Summary!$Q$28:$R$29,2),VLOOKUP(Summary!M293,Summary!$Q$30:$R$32,2)))</f>
        <v>Sprig 4</v>
      </c>
      <c r="E286" t="str">
        <f>VLOOKUP(Summary!M296,Summary!$P$42:$Q$43,2)</f>
        <v>86</v>
      </c>
      <c r="F286">
        <f>IF(LEFT(A286,3)="B60",20,IF(LEFT(A286,3)="B12",30,25))+B286*0.5+INT(Summary!M299*20)</f>
        <v>305</v>
      </c>
      <c r="G286">
        <f>ROUND(IF(OR(ISERROR(FIND(Summary!$P$89,CONCATENATE(C286,D286,E286))),ISERROR(FIND(Summary!$Q$89,A286))),Summary!$R$45,IF(H286&gt;Summary!$V$3,Summary!$R$46,Summary!$R$45))*(B286+30),0)</f>
        <v>6</v>
      </c>
      <c r="H286">
        <f>IF(H285&gt;Summary!$V$4,0,H285+F285)</f>
        <v>109254</v>
      </c>
      <c r="I286" s="26">
        <f>DATE(YEAR(Summary!$V$2),MONTH(Summary!$V$2),DAY(Summary!$V$2)+INT(H286/480))</f>
        <v>43817</v>
      </c>
      <c r="J286" s="27">
        <f t="shared" si="5"/>
        <v>0.53749999999999998</v>
      </c>
    </row>
    <row r="287" spans="1:10">
      <c r="A287" t="str">
        <f>VLOOKUP(Summary!M286,Summary!$P$13:$Q$24,2)</f>
        <v>B1200-lime</v>
      </c>
      <c r="B287">
        <f>ROUND(NORMINV(Summary!M288,VLOOKUP(A287,Summary!$Q$13:$S$24,3,FALSE),VLOOKUP(A287,Summary!$Q$13:$S$24,3,FALSE)/6),-1)</f>
        <v>910</v>
      </c>
      <c r="C287" t="str">
        <f>IF(AND(H287=0,C286=Summary!$P$2),Summary!$Q$2,IF(AND(H287=0,C286=Summary!$Q$2),Summary!$R$2,C286))</f>
        <v>Neesha</v>
      </c>
      <c r="D287" t="str">
        <f>IF(C287=Summary!$P$26,VLOOKUP(Summary!M294,Summary!$Q$26:$R$27,2),IF('Run Data'!C287=Summary!$P$28,VLOOKUP(Summary!M294,Summary!$Q$28:$R$29,2),VLOOKUP(Summary!M294,Summary!$Q$30:$R$32,2)))</f>
        <v>Sprig 4</v>
      </c>
      <c r="E287" t="str">
        <f>VLOOKUP(Summary!M297,Summary!$P$42:$Q$43,2)</f>
        <v>86</v>
      </c>
      <c r="F287">
        <f>IF(LEFT(A287,3)="B60",20,IF(LEFT(A287,3)="B12",30,25))+B287*0.5+INT(Summary!M300*20)</f>
        <v>496</v>
      </c>
      <c r="G287">
        <f>ROUND(IF(OR(ISERROR(FIND(Summary!$P$89,CONCATENATE(C287,D287,E287))),ISERROR(FIND(Summary!$Q$89,A287))),Summary!$R$45,IF(H287&gt;Summary!$V$3,Summary!$R$46,Summary!$R$45))*(B287+30),0)</f>
        <v>9</v>
      </c>
      <c r="H287">
        <f>IF(H286&gt;Summary!$V$4,0,H286+F286)</f>
        <v>109559</v>
      </c>
      <c r="I287" s="26">
        <f>DATE(YEAR(Summary!$V$2),MONTH(Summary!$V$2),DAY(Summary!$V$2)+INT(H287/480))</f>
        <v>43818</v>
      </c>
      <c r="J287" s="27">
        <f t="shared" si="5"/>
        <v>0.41597222222222219</v>
      </c>
    </row>
    <row r="288" spans="1:10">
      <c r="A288" t="str">
        <f>VLOOKUP(Summary!M287,Summary!$P$13:$Q$24,2)</f>
        <v>B1700-fire</v>
      </c>
      <c r="B288">
        <f>ROUND(NORMINV(Summary!M289,VLOOKUP(A288,Summary!$Q$13:$S$24,3,FALSE),VLOOKUP(A288,Summary!$Q$13:$S$24,3,FALSE)/6),-1)</f>
        <v>590</v>
      </c>
      <c r="C288" t="str">
        <f>IF(AND(H288=0,C287=Summary!$P$2),Summary!$Q$2,IF(AND(H288=0,C287=Summary!$Q$2),Summary!$R$2,C287))</f>
        <v>Neesha</v>
      </c>
      <c r="D288" t="str">
        <f>IF(C288=Summary!$P$26,VLOOKUP(Summary!M295,Summary!$Q$26:$R$27,2),IF('Run Data'!C288=Summary!$P$28,VLOOKUP(Summary!M295,Summary!$Q$28:$R$29,2),VLOOKUP(Summary!M295,Summary!$Q$30:$R$32,2)))</f>
        <v>Sprig 1</v>
      </c>
      <c r="E288" t="str">
        <f>VLOOKUP(Summary!M298,Summary!$P$42:$Q$43,2)</f>
        <v>86</v>
      </c>
      <c r="F288">
        <f>IF(LEFT(A288,3)="B60",20,IF(LEFT(A288,3)="B12",30,25))+B288*0.5+INT(Summary!M301*20)</f>
        <v>339</v>
      </c>
      <c r="G288">
        <f>ROUND(IF(OR(ISERROR(FIND(Summary!$P$89,CONCATENATE(C288,D288,E288))),ISERROR(FIND(Summary!$Q$89,A288))),Summary!$R$45,IF(H288&gt;Summary!$V$3,Summary!$R$46,Summary!$R$45))*(B288+30),0)</f>
        <v>74</v>
      </c>
      <c r="H288">
        <f>IF(H287&gt;Summary!$V$4,0,H287+F287)</f>
        <v>110055</v>
      </c>
      <c r="I288" s="26">
        <f>DATE(YEAR(Summary!$V$2),MONTH(Summary!$V$2),DAY(Summary!$V$2)+INT(H288/480))</f>
        <v>43819</v>
      </c>
      <c r="J288" s="27">
        <f t="shared" si="5"/>
        <v>0.42708333333333331</v>
      </c>
    </row>
    <row r="289" spans="1:10">
      <c r="A289" t="str">
        <f>VLOOKUP(Summary!M288,Summary!$P$13:$Q$24,2)</f>
        <v>B1700-sky</v>
      </c>
      <c r="B289">
        <f>ROUND(NORMINV(Summary!M290,VLOOKUP(A289,Summary!$Q$13:$S$24,3,FALSE),VLOOKUP(A289,Summary!$Q$13:$S$24,3,FALSE)/6),-1)</f>
        <v>490</v>
      </c>
      <c r="C289" t="str">
        <f>IF(AND(H289=0,C288=Summary!$P$2),Summary!$Q$2,IF(AND(H289=0,C288=Summary!$Q$2),Summary!$R$2,C288))</f>
        <v>Neesha</v>
      </c>
      <c r="D289" t="str">
        <f>IF(C289=Summary!$P$26,VLOOKUP(Summary!M296,Summary!$Q$26:$R$27,2),IF('Run Data'!C289=Summary!$P$28,VLOOKUP(Summary!M296,Summary!$Q$28:$R$29,2),VLOOKUP(Summary!M296,Summary!$Q$30:$R$32,2)))</f>
        <v>Sprig 1</v>
      </c>
      <c r="E289" t="str">
        <f>VLOOKUP(Summary!M299,Summary!$P$42:$Q$43,2)</f>
        <v>86</v>
      </c>
      <c r="F289">
        <f>IF(LEFT(A289,3)="B60",20,IF(LEFT(A289,3)="B12",30,25))+B289*0.5+INT(Summary!M302*20)</f>
        <v>277</v>
      </c>
      <c r="G289">
        <f>ROUND(IF(OR(ISERROR(FIND(Summary!$P$89,CONCATENATE(C289,D289,E289))),ISERROR(FIND(Summary!$Q$89,A289))),Summary!$R$45,IF(H289&gt;Summary!$V$3,Summary!$R$46,Summary!$R$45))*(B289+30),0)</f>
        <v>62</v>
      </c>
      <c r="H289">
        <f>IF(H288&gt;Summary!$V$4,0,H288+F288)</f>
        <v>110394</v>
      </c>
      <c r="I289" s="26">
        <f>DATE(YEAR(Summary!$V$2),MONTH(Summary!$V$2),DAY(Summary!$V$2)+INT(H289/480))</f>
        <v>43819</v>
      </c>
      <c r="J289" s="27">
        <f t="shared" si="5"/>
        <v>0.66249999999999998</v>
      </c>
    </row>
    <row r="290" spans="1:10">
      <c r="A290" t="str">
        <f>VLOOKUP(Summary!M289,Summary!$P$13:$Q$24,2)</f>
        <v>B600-sky</v>
      </c>
      <c r="B290">
        <f>ROUND(NORMINV(Summary!M291,VLOOKUP(A290,Summary!$Q$13:$S$24,3,FALSE),VLOOKUP(A290,Summary!$Q$13:$S$24,3,FALSE)/6),-1)</f>
        <v>510</v>
      </c>
      <c r="C290" t="str">
        <f>IF(AND(H290=0,C289=Summary!$P$2),Summary!$Q$2,IF(AND(H290=0,C289=Summary!$Q$2),Summary!$R$2,C289))</f>
        <v>Neesha</v>
      </c>
      <c r="D290" t="str">
        <f>IF(C290=Summary!$P$26,VLOOKUP(Summary!M297,Summary!$Q$26:$R$27,2),IF('Run Data'!C290=Summary!$P$28,VLOOKUP(Summary!M297,Summary!$Q$28:$R$29,2),VLOOKUP(Summary!M297,Summary!$Q$30:$R$32,2)))</f>
        <v>Sprig 1</v>
      </c>
      <c r="E290" t="str">
        <f>VLOOKUP(Summary!M300,Summary!$P$42:$Q$43,2)</f>
        <v>86</v>
      </c>
      <c r="F290">
        <f>IF(LEFT(A290,3)="B60",20,IF(LEFT(A290,3)="B12",30,25))+B290*0.5+INT(Summary!M303*20)</f>
        <v>285</v>
      </c>
      <c r="G290">
        <f>ROUND(IF(OR(ISERROR(FIND(Summary!$P$89,CONCATENATE(C290,D290,E290))),ISERROR(FIND(Summary!$Q$89,A290))),Summary!$R$45,IF(H290&gt;Summary!$V$3,Summary!$R$46,Summary!$R$45))*(B290+30),0)</f>
        <v>5</v>
      </c>
      <c r="H290">
        <f>IF(H289&gt;Summary!$V$4,0,H289+F289)</f>
        <v>110671</v>
      </c>
      <c r="I290" s="26">
        <f>DATE(YEAR(Summary!$V$2),MONTH(Summary!$V$2),DAY(Summary!$V$2)+INT(H290/480))</f>
        <v>43820</v>
      </c>
      <c r="J290" s="27">
        <f t="shared" si="5"/>
        <v>0.52152777777777781</v>
      </c>
    </row>
    <row r="291" spans="1:10">
      <c r="A291" t="str">
        <f>VLOOKUP(Summary!M290,Summary!$P$13:$Q$24,2)</f>
        <v>B1200-plum</v>
      </c>
      <c r="B291">
        <f>ROUND(NORMINV(Summary!M292,VLOOKUP(A291,Summary!$Q$13:$S$24,3,FALSE),VLOOKUP(A291,Summary!$Q$13:$S$24,3,FALSE)/6),-1)</f>
        <v>620</v>
      </c>
      <c r="C291" t="str">
        <f>IF(AND(H291=0,C290=Summary!$P$2),Summary!$Q$2,IF(AND(H291=0,C290=Summary!$Q$2),Summary!$R$2,C290))</f>
        <v>Neesha</v>
      </c>
      <c r="D291" t="str">
        <f>IF(C291=Summary!$P$26,VLOOKUP(Summary!M298,Summary!$Q$26:$R$27,2),IF('Run Data'!C291=Summary!$P$28,VLOOKUP(Summary!M298,Summary!$Q$28:$R$29,2),VLOOKUP(Summary!M298,Summary!$Q$30:$R$32,2)))</f>
        <v>Sprig 1</v>
      </c>
      <c r="E291" t="str">
        <f>VLOOKUP(Summary!M301,Summary!$P$42:$Q$43,2)</f>
        <v>87b</v>
      </c>
      <c r="F291">
        <f>IF(LEFT(A291,3)="B60",20,IF(LEFT(A291,3)="B12",30,25))+B291*0.5+INT(Summary!M304*20)</f>
        <v>352</v>
      </c>
      <c r="G291">
        <f>ROUND(IF(OR(ISERROR(FIND(Summary!$P$89,CONCATENATE(C291,D291,E291))),ISERROR(FIND(Summary!$Q$89,A291))),Summary!$R$45,IF(H291&gt;Summary!$V$3,Summary!$R$46,Summary!$R$45))*(B291+30),0)</f>
        <v>7</v>
      </c>
      <c r="H291">
        <f>IF(H290&gt;Summary!$V$4,0,H290+F290)</f>
        <v>110956</v>
      </c>
      <c r="I291" s="26">
        <f>DATE(YEAR(Summary!$V$2),MONTH(Summary!$V$2),DAY(Summary!$V$2)+INT(H291/480))</f>
        <v>43821</v>
      </c>
      <c r="J291" s="27">
        <f t="shared" si="5"/>
        <v>0.38611111111111113</v>
      </c>
    </row>
    <row r="292" spans="1:10">
      <c r="A292" t="str">
        <f>VLOOKUP(Summary!M291,Summary!$P$13:$Q$24,2)</f>
        <v>B1200-fire</v>
      </c>
      <c r="B292">
        <f>ROUND(NORMINV(Summary!M293,VLOOKUP(A292,Summary!$Q$13:$S$24,3,FALSE),VLOOKUP(A292,Summary!$Q$13:$S$24,3,FALSE)/6),-1)</f>
        <v>1590</v>
      </c>
      <c r="C292" t="str">
        <f>IF(AND(H292=0,C291=Summary!$P$2),Summary!$Q$2,IF(AND(H292=0,C291=Summary!$Q$2),Summary!$R$2,C291))</f>
        <v>Neesha</v>
      </c>
      <c r="D292" t="str">
        <f>IF(C292=Summary!$P$26,VLOOKUP(Summary!M299,Summary!$Q$26:$R$27,2),IF('Run Data'!C292=Summary!$P$28,VLOOKUP(Summary!M299,Summary!$Q$28:$R$29,2),VLOOKUP(Summary!M299,Summary!$Q$30:$R$32,2)))</f>
        <v>Sprig 1</v>
      </c>
      <c r="E292" t="str">
        <f>VLOOKUP(Summary!M302,Summary!$P$42:$Q$43,2)</f>
        <v>86</v>
      </c>
      <c r="F292">
        <f>IF(LEFT(A292,3)="B60",20,IF(LEFT(A292,3)="B12",30,25))+B292*0.5+INT(Summary!M305*20)</f>
        <v>830</v>
      </c>
      <c r="G292">
        <f>ROUND(IF(OR(ISERROR(FIND(Summary!$P$89,CONCATENATE(C292,D292,E292))),ISERROR(FIND(Summary!$Q$89,A292))),Summary!$R$45,IF(H292&gt;Summary!$V$3,Summary!$R$46,Summary!$R$45))*(B292+30),0)</f>
        <v>16</v>
      </c>
      <c r="H292">
        <f>IF(H291&gt;Summary!$V$4,0,H291+F291)</f>
        <v>111308</v>
      </c>
      <c r="I292" s="26">
        <f>DATE(YEAR(Summary!$V$2),MONTH(Summary!$V$2),DAY(Summary!$V$2)+INT(H292/480))</f>
        <v>43821</v>
      </c>
      <c r="J292" s="27">
        <f t="shared" si="5"/>
        <v>0.63055555555555554</v>
      </c>
    </row>
    <row r="293" spans="1:10">
      <c r="A293" t="str">
        <f>VLOOKUP(Summary!M292,Summary!$P$13:$Q$24,2)</f>
        <v>B1700-lime</v>
      </c>
      <c r="B293">
        <f>ROUND(NORMINV(Summary!M294,VLOOKUP(A293,Summary!$Q$13:$S$24,3,FALSE),VLOOKUP(A293,Summary!$Q$13:$S$24,3,FALSE)/6),-1)</f>
        <v>550</v>
      </c>
      <c r="C293" t="str">
        <f>IF(AND(H293=0,C292=Summary!$P$2),Summary!$Q$2,IF(AND(H293=0,C292=Summary!$Q$2),Summary!$R$2,C292))</f>
        <v>Neesha</v>
      </c>
      <c r="D293" t="str">
        <f>IF(C293=Summary!$P$26,VLOOKUP(Summary!M300,Summary!$Q$26:$R$27,2),IF('Run Data'!C293=Summary!$P$28,VLOOKUP(Summary!M300,Summary!$Q$28:$R$29,2),VLOOKUP(Summary!M300,Summary!$Q$30:$R$32,2)))</f>
        <v>Sprig 1</v>
      </c>
      <c r="E293" t="str">
        <f>VLOOKUP(Summary!M303,Summary!$P$42:$Q$43,2)</f>
        <v>86</v>
      </c>
      <c r="F293">
        <f>IF(LEFT(A293,3)="B60",20,IF(LEFT(A293,3)="B12",30,25))+B293*0.5+INT(Summary!M306*20)</f>
        <v>312</v>
      </c>
      <c r="G293">
        <f>ROUND(IF(OR(ISERROR(FIND(Summary!$P$89,CONCATENATE(C293,D293,E293))),ISERROR(FIND(Summary!$Q$89,A293))),Summary!$R$45,IF(H293&gt;Summary!$V$3,Summary!$R$46,Summary!$R$45))*(B293+30),0)</f>
        <v>70</v>
      </c>
      <c r="H293">
        <f>IF(H292&gt;Summary!$V$4,0,H292+F292)</f>
        <v>112138</v>
      </c>
      <c r="I293" s="26">
        <f>DATE(YEAR(Summary!$V$2),MONTH(Summary!$V$2),DAY(Summary!$V$2)+INT(H293/480))</f>
        <v>43823</v>
      </c>
      <c r="J293" s="27">
        <f t="shared" si="5"/>
        <v>0.54027777777777775</v>
      </c>
    </row>
    <row r="294" spans="1:10">
      <c r="A294" t="str">
        <f>VLOOKUP(Summary!M293,Summary!$P$13:$Q$24,2)</f>
        <v>B1700-lime</v>
      </c>
      <c r="B294">
        <f>ROUND(NORMINV(Summary!M295,VLOOKUP(A294,Summary!$Q$13:$S$24,3,FALSE),VLOOKUP(A294,Summary!$Q$13:$S$24,3,FALSE)/6),-1)</f>
        <v>320</v>
      </c>
      <c r="C294" t="str">
        <f>IF(AND(H294=0,C293=Summary!$P$2),Summary!$Q$2,IF(AND(H294=0,C293=Summary!$Q$2),Summary!$R$2,C293))</f>
        <v>Neesha</v>
      </c>
      <c r="D294" t="str">
        <f>IF(C294=Summary!$P$26,VLOOKUP(Summary!M301,Summary!$Q$26:$R$27,2),IF('Run Data'!C294=Summary!$P$28,VLOOKUP(Summary!M301,Summary!$Q$28:$R$29,2),VLOOKUP(Summary!M301,Summary!$Q$30:$R$32,2)))</f>
        <v>Sprig 4</v>
      </c>
      <c r="E294" t="str">
        <f>VLOOKUP(Summary!M304,Summary!$P$42:$Q$43,2)</f>
        <v>86</v>
      </c>
      <c r="F294">
        <f>IF(LEFT(A294,3)="B60",20,IF(LEFT(A294,3)="B12",30,25))+B294*0.5+INT(Summary!M307*20)</f>
        <v>188</v>
      </c>
      <c r="G294">
        <f>ROUND(IF(OR(ISERROR(FIND(Summary!$P$89,CONCATENATE(C294,D294,E294))),ISERROR(FIND(Summary!$Q$89,A294))),Summary!$R$45,IF(H294&gt;Summary!$V$3,Summary!$R$46,Summary!$R$45))*(B294+30),0)</f>
        <v>42</v>
      </c>
      <c r="H294">
        <f>IF(H293&gt;Summary!$V$4,0,H293+F293)</f>
        <v>112450</v>
      </c>
      <c r="I294" s="26">
        <f>DATE(YEAR(Summary!$V$2),MONTH(Summary!$V$2),DAY(Summary!$V$2)+INT(H294/480))</f>
        <v>43824</v>
      </c>
      <c r="J294" s="27">
        <f t="shared" si="5"/>
        <v>0.4236111111111111</v>
      </c>
    </row>
    <row r="295" spans="1:10">
      <c r="A295" t="str">
        <f>VLOOKUP(Summary!M294,Summary!$P$13:$Q$24,2)</f>
        <v>B1700-lime</v>
      </c>
      <c r="B295">
        <f>ROUND(NORMINV(Summary!M296,VLOOKUP(A295,Summary!$Q$13:$S$24,3,FALSE),VLOOKUP(A295,Summary!$Q$13:$S$24,3,FALSE)/6),-1)</f>
        <v>290</v>
      </c>
      <c r="C295" t="str">
        <f>IF(AND(H295=0,C294=Summary!$P$2),Summary!$Q$2,IF(AND(H295=0,C294=Summary!$Q$2),Summary!$R$2,C294))</f>
        <v>Neesha</v>
      </c>
      <c r="D295" t="str">
        <f>IF(C295=Summary!$P$26,VLOOKUP(Summary!M302,Summary!$Q$26:$R$27,2),IF('Run Data'!C295=Summary!$P$28,VLOOKUP(Summary!M302,Summary!$Q$28:$R$29,2),VLOOKUP(Summary!M302,Summary!$Q$30:$R$32,2)))</f>
        <v>Sprig 1</v>
      </c>
      <c r="E295" t="str">
        <f>VLOOKUP(Summary!M305,Summary!$P$42:$Q$43,2)</f>
        <v>86</v>
      </c>
      <c r="F295">
        <f>IF(LEFT(A295,3)="B60",20,IF(LEFT(A295,3)="B12",30,25))+B295*0.5+INT(Summary!M308*20)</f>
        <v>189</v>
      </c>
      <c r="G295">
        <f>ROUND(IF(OR(ISERROR(FIND(Summary!$P$89,CONCATENATE(C295,D295,E295))),ISERROR(FIND(Summary!$Q$89,A295))),Summary!$R$45,IF(H295&gt;Summary!$V$3,Summary!$R$46,Summary!$R$45))*(B295+30),0)</f>
        <v>38</v>
      </c>
      <c r="H295">
        <f>IF(H294&gt;Summary!$V$4,0,H294+F294)</f>
        <v>112638</v>
      </c>
      <c r="I295" s="26">
        <f>DATE(YEAR(Summary!$V$2),MONTH(Summary!$V$2),DAY(Summary!$V$2)+INT(H295/480))</f>
        <v>43824</v>
      </c>
      <c r="J295" s="27">
        <f t="shared" si="5"/>
        <v>0.5541666666666667</v>
      </c>
    </row>
    <row r="296" spans="1:10">
      <c r="A296" t="str">
        <f>VLOOKUP(Summary!M295,Summary!$P$13:$Q$24,2)</f>
        <v>B600-fire</v>
      </c>
      <c r="B296">
        <f>ROUND(NORMINV(Summary!M297,VLOOKUP(A296,Summary!$Q$13:$S$24,3,FALSE),VLOOKUP(A296,Summary!$Q$13:$S$24,3,FALSE)/6),-1)</f>
        <v>260</v>
      </c>
      <c r="C296" t="str">
        <f>IF(AND(H296=0,C295=Summary!$P$2),Summary!$Q$2,IF(AND(H296=0,C295=Summary!$Q$2),Summary!$R$2,C295))</f>
        <v>Neesha</v>
      </c>
      <c r="D296" t="str">
        <f>IF(C296=Summary!$P$26,VLOOKUP(Summary!M303,Summary!$Q$26:$R$27,2),IF('Run Data'!C296=Summary!$P$28,VLOOKUP(Summary!M303,Summary!$Q$28:$R$29,2),VLOOKUP(Summary!M303,Summary!$Q$30:$R$32,2)))</f>
        <v>Sprig 1</v>
      </c>
      <c r="E296" t="str">
        <f>VLOOKUP(Summary!M306,Summary!$P$42:$Q$43,2)</f>
        <v>86</v>
      </c>
      <c r="F296">
        <f>IF(LEFT(A296,3)="B60",20,IF(LEFT(A296,3)="B12",30,25))+B296*0.5+INT(Summary!M309*20)</f>
        <v>155</v>
      </c>
      <c r="G296">
        <f>ROUND(IF(OR(ISERROR(FIND(Summary!$P$89,CONCATENATE(C296,D296,E296))),ISERROR(FIND(Summary!$Q$89,A296))),Summary!$R$45,IF(H296&gt;Summary!$V$3,Summary!$R$46,Summary!$R$45))*(B296+30),0)</f>
        <v>3</v>
      </c>
      <c r="H296">
        <f>IF(H295&gt;Summary!$V$4,0,H295+F295)</f>
        <v>112827</v>
      </c>
      <c r="I296" s="26">
        <f>DATE(YEAR(Summary!$V$2),MONTH(Summary!$V$2),DAY(Summary!$V$2)+INT(H296/480))</f>
        <v>43825</v>
      </c>
      <c r="J296" s="27">
        <f t="shared" si="5"/>
        <v>0.3520833333333333</v>
      </c>
    </row>
    <row r="297" spans="1:10">
      <c r="A297" t="str">
        <f>VLOOKUP(Summary!M296,Summary!$P$13:$Q$24,2)</f>
        <v>B600-plum</v>
      </c>
      <c r="B297">
        <f>ROUND(NORMINV(Summary!M298,VLOOKUP(A297,Summary!$Q$13:$S$24,3,FALSE),VLOOKUP(A297,Summary!$Q$13:$S$24,3,FALSE)/6),-1)</f>
        <v>200</v>
      </c>
      <c r="C297" t="str">
        <f>IF(AND(H297=0,C296=Summary!$P$2),Summary!$Q$2,IF(AND(H297=0,C296=Summary!$Q$2),Summary!$R$2,C296))</f>
        <v>Neesha</v>
      </c>
      <c r="D297" t="str">
        <f>IF(C297=Summary!$P$26,VLOOKUP(Summary!M304,Summary!$Q$26:$R$27,2),IF('Run Data'!C297=Summary!$P$28,VLOOKUP(Summary!M304,Summary!$Q$28:$R$29,2),VLOOKUP(Summary!M304,Summary!$Q$30:$R$32,2)))</f>
        <v>Sprig 1</v>
      </c>
      <c r="E297" t="str">
        <f>VLOOKUP(Summary!M307,Summary!$P$42:$Q$43,2)</f>
        <v>86</v>
      </c>
      <c r="F297">
        <f>IF(LEFT(A297,3)="B60",20,IF(LEFT(A297,3)="B12",30,25))+B297*0.5+INT(Summary!M310*20)</f>
        <v>135</v>
      </c>
      <c r="G297">
        <f>ROUND(IF(OR(ISERROR(FIND(Summary!$P$89,CONCATENATE(C297,D297,E297))),ISERROR(FIND(Summary!$Q$89,A297))),Summary!$R$45,IF(H297&gt;Summary!$V$3,Summary!$R$46,Summary!$R$45))*(B297+30),0)</f>
        <v>2</v>
      </c>
      <c r="H297">
        <f>IF(H296&gt;Summary!$V$4,0,H296+F296)</f>
        <v>112982</v>
      </c>
      <c r="I297" s="26">
        <f>DATE(YEAR(Summary!$V$2),MONTH(Summary!$V$2),DAY(Summary!$V$2)+INT(H297/480))</f>
        <v>43825</v>
      </c>
      <c r="J297" s="27">
        <f t="shared" si="5"/>
        <v>0.4597222222222222</v>
      </c>
    </row>
    <row r="298" spans="1:10">
      <c r="A298" t="str">
        <f>VLOOKUP(Summary!M297,Summary!$P$13:$Q$24,2)</f>
        <v>B600-plum</v>
      </c>
      <c r="B298">
        <f>ROUND(NORMINV(Summary!M299,VLOOKUP(A298,Summary!$Q$13:$S$24,3,FALSE),VLOOKUP(A298,Summary!$Q$13:$S$24,3,FALSE)/6),-1)</f>
        <v>180</v>
      </c>
      <c r="C298" t="str">
        <f>IF(AND(H298=0,C297=Summary!$P$2),Summary!$Q$2,IF(AND(H298=0,C297=Summary!$Q$2),Summary!$R$2,C297))</f>
        <v>Neesha</v>
      </c>
      <c r="D298" t="str">
        <f>IF(C298=Summary!$P$26,VLOOKUP(Summary!M305,Summary!$Q$26:$R$27,2),IF('Run Data'!C298=Summary!$P$28,VLOOKUP(Summary!M305,Summary!$Q$28:$R$29,2),VLOOKUP(Summary!M305,Summary!$Q$30:$R$32,2)))</f>
        <v>Sprig 1</v>
      </c>
      <c r="E298" t="str">
        <f>VLOOKUP(Summary!M308,Summary!$P$42:$Q$43,2)</f>
        <v>87b</v>
      </c>
      <c r="F298">
        <f>IF(LEFT(A298,3)="B60",20,IF(LEFT(A298,3)="B12",30,25))+B298*0.5+INT(Summary!M311*20)</f>
        <v>115</v>
      </c>
      <c r="G298">
        <f>ROUND(IF(OR(ISERROR(FIND(Summary!$P$89,CONCATENATE(C298,D298,E298))),ISERROR(FIND(Summary!$Q$89,A298))),Summary!$R$45,IF(H298&gt;Summary!$V$3,Summary!$R$46,Summary!$R$45))*(B298+30),0)</f>
        <v>2</v>
      </c>
      <c r="H298">
        <f>IF(H297&gt;Summary!$V$4,0,H297+F297)</f>
        <v>113117</v>
      </c>
      <c r="I298" s="26">
        <f>DATE(YEAR(Summary!$V$2),MONTH(Summary!$V$2),DAY(Summary!$V$2)+INT(H298/480))</f>
        <v>43825</v>
      </c>
      <c r="J298" s="27">
        <f t="shared" si="5"/>
        <v>0.55347222222222225</v>
      </c>
    </row>
    <row r="299" spans="1:10">
      <c r="A299" t="str">
        <f>VLOOKUP(Summary!M298,Summary!$P$13:$Q$24,2)</f>
        <v>B1200-fire</v>
      </c>
      <c r="B299">
        <f>ROUND(NORMINV(Summary!M300,VLOOKUP(A299,Summary!$Q$13:$S$24,3,FALSE),VLOOKUP(A299,Summary!$Q$13:$S$24,3,FALSE)/6),-1)</f>
        <v>1240</v>
      </c>
      <c r="C299" t="str">
        <f>IF(AND(H299=0,C298=Summary!$P$2),Summary!$Q$2,IF(AND(H299=0,C298=Summary!$Q$2),Summary!$R$2,C298))</f>
        <v>Neesha</v>
      </c>
      <c r="D299" t="str">
        <f>IF(C299=Summary!$P$26,VLOOKUP(Summary!M306,Summary!$Q$26:$R$27,2),IF('Run Data'!C299=Summary!$P$28,VLOOKUP(Summary!M306,Summary!$Q$28:$R$29,2),VLOOKUP(Summary!M306,Summary!$Q$30:$R$32,2)))</f>
        <v>Sprig 1</v>
      </c>
      <c r="E299" t="str">
        <f>VLOOKUP(Summary!M309,Summary!$P$42:$Q$43,2)</f>
        <v>86</v>
      </c>
      <c r="F299">
        <f>IF(LEFT(A299,3)="B60",20,IF(LEFT(A299,3)="B12",30,25))+B299*0.5+INT(Summary!M312*20)</f>
        <v>669</v>
      </c>
      <c r="G299">
        <f>ROUND(IF(OR(ISERROR(FIND(Summary!$P$89,CONCATENATE(C299,D299,E299))),ISERROR(FIND(Summary!$Q$89,A299))),Summary!$R$45,IF(H299&gt;Summary!$V$3,Summary!$R$46,Summary!$R$45))*(B299+30),0)</f>
        <v>13</v>
      </c>
      <c r="H299">
        <f>IF(H298&gt;Summary!$V$4,0,H298+F298)</f>
        <v>113232</v>
      </c>
      <c r="I299" s="26">
        <f>DATE(YEAR(Summary!$V$2),MONTH(Summary!$V$2),DAY(Summary!$V$2)+INT(H299/480))</f>
        <v>43825</v>
      </c>
      <c r="J299" s="27">
        <f t="shared" si="5"/>
        <v>0.6333333333333333</v>
      </c>
    </row>
    <row r="300" spans="1:10">
      <c r="A300" t="str">
        <f>VLOOKUP(Summary!M299,Summary!$P$13:$Q$24,2)</f>
        <v>B1200-plum</v>
      </c>
      <c r="B300">
        <f>ROUND(NORMINV(Summary!M301,VLOOKUP(A300,Summary!$Q$13:$S$24,3,FALSE),VLOOKUP(A300,Summary!$Q$13:$S$24,3,FALSE)/6),-1)</f>
        <v>590</v>
      </c>
      <c r="C300" t="str">
        <f>IF(AND(H300=0,C299=Summary!$P$2),Summary!$Q$2,IF(AND(H300=0,C299=Summary!$Q$2),Summary!$R$2,C299))</f>
        <v>Neesha</v>
      </c>
      <c r="D300" t="str">
        <f>IF(C300=Summary!$P$26,VLOOKUP(Summary!M307,Summary!$Q$26:$R$27,2),IF('Run Data'!C300=Summary!$P$28,VLOOKUP(Summary!M307,Summary!$Q$28:$R$29,2),VLOOKUP(Summary!M307,Summary!$Q$30:$R$32,2)))</f>
        <v>Sprig 1</v>
      </c>
      <c r="E300" t="str">
        <f>VLOOKUP(Summary!M310,Summary!$P$42:$Q$43,2)</f>
        <v>86</v>
      </c>
      <c r="F300">
        <f>IF(LEFT(A300,3)="B60",20,IF(LEFT(A300,3)="B12",30,25))+B300*0.5+INT(Summary!M313*20)</f>
        <v>329</v>
      </c>
      <c r="G300">
        <f>ROUND(IF(OR(ISERROR(FIND(Summary!$P$89,CONCATENATE(C300,D300,E300))),ISERROR(FIND(Summary!$Q$89,A300))),Summary!$R$45,IF(H300&gt;Summary!$V$3,Summary!$R$46,Summary!$R$45))*(B300+30),0)</f>
        <v>6</v>
      </c>
      <c r="H300">
        <f>IF(H299&gt;Summary!$V$4,0,H299+F299)</f>
        <v>113901</v>
      </c>
      <c r="I300" s="26">
        <f>DATE(YEAR(Summary!$V$2),MONTH(Summary!$V$2),DAY(Summary!$V$2)+INT(H300/480))</f>
        <v>43827</v>
      </c>
      <c r="J300" s="27">
        <f t="shared" si="5"/>
        <v>0.43124999999999997</v>
      </c>
    </row>
    <row r="301" spans="1:10">
      <c r="A301" t="str">
        <f>VLOOKUP(Summary!M300,Summary!$P$13:$Q$24,2)</f>
        <v>B1200-lime</v>
      </c>
      <c r="B301">
        <f>ROUND(NORMINV(Summary!M302,VLOOKUP(A301,Summary!$Q$13:$S$24,3,FALSE),VLOOKUP(A301,Summary!$Q$13:$S$24,3,FALSE)/6),-1)</f>
        <v>760</v>
      </c>
      <c r="C301" t="str">
        <f>IF(AND(H301=0,C300=Summary!$P$2),Summary!$Q$2,IF(AND(H301=0,C300=Summary!$Q$2),Summary!$R$2,C300))</f>
        <v>Neesha</v>
      </c>
      <c r="D301" t="str">
        <f>IF(C301=Summary!$P$26,VLOOKUP(Summary!M308,Summary!$Q$26:$R$27,2),IF('Run Data'!C301=Summary!$P$28,VLOOKUP(Summary!M308,Summary!$Q$28:$R$29,2),VLOOKUP(Summary!M308,Summary!$Q$30:$R$32,2)))</f>
        <v>Sprig 4</v>
      </c>
      <c r="E301" t="str">
        <f>VLOOKUP(Summary!M311,Summary!$P$42:$Q$43,2)</f>
        <v>86</v>
      </c>
      <c r="F301">
        <f>IF(LEFT(A301,3)="B60",20,IF(LEFT(A301,3)="B12",30,25))+B301*0.5+INT(Summary!M314*20)</f>
        <v>417</v>
      </c>
      <c r="G301">
        <f>ROUND(IF(OR(ISERROR(FIND(Summary!$P$89,CONCATENATE(C301,D301,E301))),ISERROR(FIND(Summary!$Q$89,A301))),Summary!$R$45,IF(H301&gt;Summary!$V$3,Summary!$R$46,Summary!$R$45))*(B301+30),0)</f>
        <v>8</v>
      </c>
      <c r="H301">
        <f>IF(H300&gt;Summary!$V$4,0,H300+F300)</f>
        <v>114230</v>
      </c>
      <c r="I301" s="26">
        <f>DATE(YEAR(Summary!$V$2),MONTH(Summary!$V$2),DAY(Summary!$V$2)+INT(H301/480))</f>
        <v>43827</v>
      </c>
      <c r="J301" s="27">
        <f t="shared" si="5"/>
        <v>0.65972222222222221</v>
      </c>
    </row>
    <row r="302" spans="1:10">
      <c r="A302" t="str">
        <f>VLOOKUP(Summary!M301,Summary!$P$13:$Q$24,2)</f>
        <v>B1700-lime</v>
      </c>
      <c r="B302">
        <f>ROUND(NORMINV(Summary!M303,VLOOKUP(A302,Summary!$Q$13:$S$24,3,FALSE),VLOOKUP(A302,Summary!$Q$13:$S$24,3,FALSE)/6),-1)</f>
        <v>400</v>
      </c>
      <c r="C302" t="str">
        <f>IF(AND(H302=0,C301=Summary!$P$2),Summary!$Q$2,IF(AND(H302=0,C301=Summary!$Q$2),Summary!$R$2,C301))</f>
        <v>Neesha</v>
      </c>
      <c r="D302" t="str">
        <f>IF(C302=Summary!$P$26,VLOOKUP(Summary!M309,Summary!$Q$26:$R$27,2),IF('Run Data'!C302=Summary!$P$28,VLOOKUP(Summary!M309,Summary!$Q$28:$R$29,2),VLOOKUP(Summary!M309,Summary!$Q$30:$R$32,2)))</f>
        <v>Sprig 1</v>
      </c>
      <c r="E302" t="str">
        <f>VLOOKUP(Summary!M312,Summary!$P$42:$Q$43,2)</f>
        <v>87b</v>
      </c>
      <c r="F302">
        <f>IF(LEFT(A302,3)="B60",20,IF(LEFT(A302,3)="B12",30,25))+B302*0.5+INT(Summary!M315*20)</f>
        <v>242</v>
      </c>
      <c r="G302">
        <f>ROUND(IF(OR(ISERROR(FIND(Summary!$P$89,CONCATENATE(C302,D302,E302))),ISERROR(FIND(Summary!$Q$89,A302))),Summary!$R$45,IF(H302&gt;Summary!$V$3,Summary!$R$46,Summary!$R$45))*(B302+30),0)</f>
        <v>4</v>
      </c>
      <c r="H302">
        <f>IF(H301&gt;Summary!$V$4,0,H301+F301)</f>
        <v>114647</v>
      </c>
      <c r="I302" s="26">
        <f>DATE(YEAR(Summary!$V$2),MONTH(Summary!$V$2),DAY(Summary!$V$2)+INT(H302/480))</f>
        <v>43828</v>
      </c>
      <c r="J302" s="27">
        <f t="shared" si="5"/>
        <v>0.61597222222222225</v>
      </c>
    </row>
    <row r="303" spans="1:10">
      <c r="A303" t="str">
        <f>VLOOKUP(Summary!M302,Summary!$P$13:$Q$24,2)</f>
        <v>B1200-sky</v>
      </c>
      <c r="B303">
        <f>ROUND(NORMINV(Summary!M304,VLOOKUP(A303,Summary!$Q$13:$S$24,3,FALSE),VLOOKUP(A303,Summary!$Q$13:$S$24,3,FALSE)/6),-1)</f>
        <v>1260</v>
      </c>
      <c r="C303" t="str">
        <f>IF(AND(H303=0,C302=Summary!$P$2),Summary!$Q$2,IF(AND(H303=0,C302=Summary!$Q$2),Summary!$R$2,C302))</f>
        <v>Neesha</v>
      </c>
      <c r="D303" t="str">
        <f>IF(C303=Summary!$P$26,VLOOKUP(Summary!M310,Summary!$Q$26:$R$27,2),IF('Run Data'!C303=Summary!$P$28,VLOOKUP(Summary!M310,Summary!$Q$28:$R$29,2),VLOOKUP(Summary!M310,Summary!$Q$30:$R$32,2)))</f>
        <v>Sprig 4</v>
      </c>
      <c r="E303" t="str">
        <f>VLOOKUP(Summary!M313,Summary!$P$42:$Q$43,2)</f>
        <v>86</v>
      </c>
      <c r="F303">
        <f>IF(LEFT(A303,3)="B60",20,IF(LEFT(A303,3)="B12",30,25))+B303*0.5+INT(Summary!M316*20)</f>
        <v>671</v>
      </c>
      <c r="G303">
        <f>ROUND(IF(OR(ISERROR(FIND(Summary!$P$89,CONCATENATE(C303,D303,E303))),ISERROR(FIND(Summary!$Q$89,A303))),Summary!$R$45,IF(H303&gt;Summary!$V$3,Summary!$R$46,Summary!$R$45))*(B303+30),0)</f>
        <v>13</v>
      </c>
      <c r="H303">
        <f>IF(H302&gt;Summary!$V$4,0,H302+F302)</f>
        <v>114889</v>
      </c>
      <c r="I303" s="26">
        <f>DATE(YEAR(Summary!$V$2),MONTH(Summary!$V$2),DAY(Summary!$V$2)+INT(H303/480))</f>
        <v>43829</v>
      </c>
      <c r="J303" s="27">
        <f t="shared" si="5"/>
        <v>0.45069444444444445</v>
      </c>
    </row>
    <row r="304" spans="1:10">
      <c r="A304" t="str">
        <f>VLOOKUP(Summary!M303,Summary!$P$13:$Q$24,2)</f>
        <v>B1200-fire</v>
      </c>
      <c r="B304">
        <f>ROUND(NORMINV(Summary!M305,VLOOKUP(A304,Summary!$Q$13:$S$24,3,FALSE),VLOOKUP(A304,Summary!$Q$13:$S$24,3,FALSE)/6),-1)</f>
        <v>1090</v>
      </c>
      <c r="C304" t="str">
        <f>IF(AND(H304=0,C303=Summary!$P$2),Summary!$Q$2,IF(AND(H304=0,C303=Summary!$Q$2),Summary!$R$2,C303))</f>
        <v>Neesha</v>
      </c>
      <c r="D304" t="str">
        <f>IF(C304=Summary!$P$26,VLOOKUP(Summary!M311,Summary!$Q$26:$R$27,2),IF('Run Data'!C304=Summary!$P$28,VLOOKUP(Summary!M311,Summary!$Q$28:$R$29,2),VLOOKUP(Summary!M311,Summary!$Q$30:$R$32,2)))</f>
        <v>Sprig 1</v>
      </c>
      <c r="E304" t="str">
        <f>VLOOKUP(Summary!M314,Summary!$P$42:$Q$43,2)</f>
        <v>86</v>
      </c>
      <c r="F304">
        <f>IF(LEFT(A304,3)="B60",20,IF(LEFT(A304,3)="B12",30,25))+B304*0.5+INT(Summary!M317*20)</f>
        <v>591</v>
      </c>
      <c r="G304">
        <f>ROUND(IF(OR(ISERROR(FIND(Summary!$P$89,CONCATENATE(C304,D304,E304))),ISERROR(FIND(Summary!$Q$89,A304))),Summary!$R$45,IF(H304&gt;Summary!$V$3,Summary!$R$46,Summary!$R$45))*(B304+30),0)</f>
        <v>11</v>
      </c>
      <c r="H304">
        <f>IF(H303&gt;Summary!$V$4,0,H303+F303)</f>
        <v>115560</v>
      </c>
      <c r="I304" s="26">
        <f>DATE(YEAR(Summary!$V$2),MONTH(Summary!$V$2),DAY(Summary!$V$2)+INT(H304/480))</f>
        <v>43830</v>
      </c>
      <c r="J304" s="27">
        <f t="shared" si="5"/>
        <v>0.58333333333333337</v>
      </c>
    </row>
    <row r="305" spans="1:10">
      <c r="A305" t="str">
        <f>VLOOKUP(Summary!M304,Summary!$P$13:$Q$24,2)</f>
        <v>B1200-lime</v>
      </c>
      <c r="B305">
        <f>ROUND(NORMINV(Summary!M306,VLOOKUP(A305,Summary!$Q$13:$S$24,3,FALSE),VLOOKUP(A305,Summary!$Q$13:$S$24,3,FALSE)/6),-1)</f>
        <v>840</v>
      </c>
      <c r="C305" t="str">
        <f>IF(AND(H305=0,C304=Summary!$P$2),Summary!$Q$2,IF(AND(H305=0,C304=Summary!$Q$2),Summary!$R$2,C304))</f>
        <v>Neesha</v>
      </c>
      <c r="D305" t="str">
        <f>IF(C305=Summary!$P$26,VLOOKUP(Summary!M312,Summary!$Q$26:$R$27,2),IF('Run Data'!C305=Summary!$P$28,VLOOKUP(Summary!M312,Summary!$Q$28:$R$29,2),VLOOKUP(Summary!M312,Summary!$Q$30:$R$32,2)))</f>
        <v>Sprig 4</v>
      </c>
      <c r="E305" t="str">
        <f>VLOOKUP(Summary!M315,Summary!$P$42:$Q$43,2)</f>
        <v>87b</v>
      </c>
      <c r="F305">
        <f>IF(LEFT(A305,3)="B60",20,IF(LEFT(A305,3)="B12",30,25))+B305*0.5+INT(Summary!M318*20)</f>
        <v>459</v>
      </c>
      <c r="G305">
        <f>ROUND(IF(OR(ISERROR(FIND(Summary!$P$89,CONCATENATE(C305,D305,E305))),ISERROR(FIND(Summary!$Q$89,A305))),Summary!$R$45,IF(H305&gt;Summary!$V$3,Summary!$R$46,Summary!$R$45))*(B305+30),0)</f>
        <v>9</v>
      </c>
      <c r="H305">
        <f>IF(H304&gt;Summary!$V$4,0,H304+F304)</f>
        <v>116151</v>
      </c>
      <c r="I305" s="26">
        <f>DATE(YEAR(Summary!$V$2),MONTH(Summary!$V$2),DAY(Summary!$V$2)+INT(H305/480))</f>
        <v>43831</v>
      </c>
      <c r="J305" s="27">
        <f t="shared" si="5"/>
        <v>0.66041666666666665</v>
      </c>
    </row>
    <row r="306" spans="1:10">
      <c r="A306" t="str">
        <f>VLOOKUP(Summary!M305,Summary!$P$13:$Q$24,2)</f>
        <v>B1200-plum</v>
      </c>
      <c r="B306">
        <f>ROUND(NORMINV(Summary!M307,VLOOKUP(A306,Summary!$Q$13:$S$24,3,FALSE),VLOOKUP(A306,Summary!$Q$13:$S$24,3,FALSE)/6),-1)</f>
        <v>380</v>
      </c>
      <c r="C306" t="str">
        <f>IF(AND(H306=0,C305=Summary!$P$2),Summary!$Q$2,IF(AND(H306=0,C305=Summary!$Q$2),Summary!$R$2,C305))</f>
        <v>Neesha</v>
      </c>
      <c r="D306" t="str">
        <f>IF(C306=Summary!$P$26,VLOOKUP(Summary!M313,Summary!$Q$26:$R$27,2),IF('Run Data'!C306=Summary!$P$28,VLOOKUP(Summary!M313,Summary!$Q$28:$R$29,2),VLOOKUP(Summary!M313,Summary!$Q$30:$R$32,2)))</f>
        <v>Sprig 1</v>
      </c>
      <c r="E306" t="str">
        <f>VLOOKUP(Summary!M316,Summary!$P$42:$Q$43,2)</f>
        <v>86</v>
      </c>
      <c r="F306">
        <f>IF(LEFT(A306,3)="B60",20,IF(LEFT(A306,3)="B12",30,25))+B306*0.5+INT(Summary!M319*20)</f>
        <v>221</v>
      </c>
      <c r="G306">
        <f>ROUND(IF(OR(ISERROR(FIND(Summary!$P$89,CONCATENATE(C306,D306,E306))),ISERROR(FIND(Summary!$Q$89,A306))),Summary!$R$45,IF(H306&gt;Summary!$V$3,Summary!$R$46,Summary!$R$45))*(B306+30),0)</f>
        <v>4</v>
      </c>
      <c r="H306">
        <f>IF(H305&gt;Summary!$V$4,0,H305+F305)</f>
        <v>116610</v>
      </c>
      <c r="I306" s="26">
        <f>DATE(YEAR(Summary!$V$2),MONTH(Summary!$V$2),DAY(Summary!$V$2)+INT(H306/480))</f>
        <v>43832</v>
      </c>
      <c r="J306" s="27">
        <f t="shared" si="5"/>
        <v>0.64583333333333337</v>
      </c>
    </row>
    <row r="307" spans="1:10">
      <c r="A307" t="str">
        <f>VLOOKUP(Summary!M306,Summary!$P$13:$Q$24,2)</f>
        <v>B1200-lime</v>
      </c>
      <c r="B307">
        <f>ROUND(NORMINV(Summary!M308,VLOOKUP(A307,Summary!$Q$13:$S$24,3,FALSE),VLOOKUP(A307,Summary!$Q$13:$S$24,3,FALSE)/6),-1)</f>
        <v>1040</v>
      </c>
      <c r="C307" t="str">
        <f>IF(AND(H307=0,C306=Summary!$P$2),Summary!$Q$2,IF(AND(H307=0,C306=Summary!$Q$2),Summary!$R$2,C306))</f>
        <v>Neesha</v>
      </c>
      <c r="D307" t="str">
        <f>IF(C307=Summary!$P$26,VLOOKUP(Summary!M314,Summary!$Q$26:$R$27,2),IF('Run Data'!C307=Summary!$P$28,VLOOKUP(Summary!M314,Summary!$Q$28:$R$29,2),VLOOKUP(Summary!M314,Summary!$Q$30:$R$32,2)))</f>
        <v>Sprig 1</v>
      </c>
      <c r="E307" t="str">
        <f>VLOOKUP(Summary!M317,Summary!$P$42:$Q$43,2)</f>
        <v>86</v>
      </c>
      <c r="F307">
        <f>IF(LEFT(A307,3)="B60",20,IF(LEFT(A307,3)="B12",30,25))+B307*0.5+INT(Summary!M320*20)</f>
        <v>554</v>
      </c>
      <c r="G307">
        <f>ROUND(IF(OR(ISERROR(FIND(Summary!$P$89,CONCATENATE(C307,D307,E307))),ISERROR(FIND(Summary!$Q$89,A307))),Summary!$R$45,IF(H307&gt;Summary!$V$3,Summary!$R$46,Summary!$R$45))*(B307+30),0)</f>
        <v>11</v>
      </c>
      <c r="H307">
        <f>IF(H306&gt;Summary!$V$4,0,H306+F306)</f>
        <v>116831</v>
      </c>
      <c r="I307" s="26">
        <f>DATE(YEAR(Summary!$V$2),MONTH(Summary!$V$2),DAY(Summary!$V$2)+INT(H307/480))</f>
        <v>43833</v>
      </c>
      <c r="J307" s="27">
        <f t="shared" si="5"/>
        <v>0.46597222222222223</v>
      </c>
    </row>
    <row r="308" spans="1:10">
      <c r="A308" t="str">
        <f>VLOOKUP(Summary!M307,Summary!$P$13:$Q$24,2)</f>
        <v>B600-fire</v>
      </c>
      <c r="B308">
        <f>ROUND(NORMINV(Summary!M309,VLOOKUP(A308,Summary!$Q$13:$S$24,3,FALSE),VLOOKUP(A308,Summary!$Q$13:$S$24,3,FALSE)/6),-1)</f>
        <v>360</v>
      </c>
      <c r="C308" t="str">
        <f>IF(AND(H308=0,C307=Summary!$P$2),Summary!$Q$2,IF(AND(H308=0,C307=Summary!$Q$2),Summary!$R$2,C307))</f>
        <v>Neesha</v>
      </c>
      <c r="D308" t="str">
        <f>IF(C308=Summary!$P$26,VLOOKUP(Summary!M315,Summary!$Q$26:$R$27,2),IF('Run Data'!C308=Summary!$P$28,VLOOKUP(Summary!M315,Summary!$Q$28:$R$29,2),VLOOKUP(Summary!M315,Summary!$Q$30:$R$32,2)))</f>
        <v>Sprig 4</v>
      </c>
      <c r="E308" t="str">
        <f>VLOOKUP(Summary!M318,Summary!$P$42:$Q$43,2)</f>
        <v>86</v>
      </c>
      <c r="F308">
        <f>IF(LEFT(A308,3)="B60",20,IF(LEFT(A308,3)="B12",30,25))+B308*0.5+INT(Summary!M321*20)</f>
        <v>208</v>
      </c>
      <c r="G308">
        <f>ROUND(IF(OR(ISERROR(FIND(Summary!$P$89,CONCATENATE(C308,D308,E308))),ISERROR(FIND(Summary!$Q$89,A308))),Summary!$R$45,IF(H308&gt;Summary!$V$3,Summary!$R$46,Summary!$R$45))*(B308+30),0)</f>
        <v>4</v>
      </c>
      <c r="H308">
        <f>IF(H307&gt;Summary!$V$4,0,H307+F307)</f>
        <v>117385</v>
      </c>
      <c r="I308" s="26">
        <f>DATE(YEAR(Summary!$V$2),MONTH(Summary!$V$2),DAY(Summary!$V$2)+INT(H308/480))</f>
        <v>43834</v>
      </c>
      <c r="J308" s="27">
        <f t="shared" si="5"/>
        <v>0.51736111111111105</v>
      </c>
    </row>
    <row r="309" spans="1:10">
      <c r="A309" t="str">
        <f>VLOOKUP(Summary!M308,Summary!$P$13:$Q$24,2)</f>
        <v>B1700-lime</v>
      </c>
      <c r="B309">
        <f>ROUND(NORMINV(Summary!M310,VLOOKUP(A309,Summary!$Q$13:$S$24,3,FALSE),VLOOKUP(A309,Summary!$Q$13:$S$24,3,FALSE)/6),-1)</f>
        <v>450</v>
      </c>
      <c r="C309" t="str">
        <f>IF(AND(H309=0,C308=Summary!$P$2),Summary!$Q$2,IF(AND(H309=0,C308=Summary!$Q$2),Summary!$R$2,C308))</f>
        <v>Neesha</v>
      </c>
      <c r="D309" t="str">
        <f>IF(C309=Summary!$P$26,VLOOKUP(Summary!M316,Summary!$Q$26:$R$27,2),IF('Run Data'!C309=Summary!$P$28,VLOOKUP(Summary!M316,Summary!$Q$28:$R$29,2),VLOOKUP(Summary!M316,Summary!$Q$30:$R$32,2)))</f>
        <v>Sprig 1</v>
      </c>
      <c r="E309" t="str">
        <f>VLOOKUP(Summary!M319,Summary!$P$42:$Q$43,2)</f>
        <v>86</v>
      </c>
      <c r="F309">
        <f>IF(LEFT(A309,3)="B60",20,IF(LEFT(A309,3)="B12",30,25))+B309*0.5+INT(Summary!M322*20)</f>
        <v>256</v>
      </c>
      <c r="G309">
        <f>ROUND(IF(OR(ISERROR(FIND(Summary!$P$89,CONCATENATE(C309,D309,E309))),ISERROR(FIND(Summary!$Q$89,A309))),Summary!$R$45,IF(H309&gt;Summary!$V$3,Summary!$R$46,Summary!$R$45))*(B309+30),0)</f>
        <v>58</v>
      </c>
      <c r="H309">
        <f>IF(H308&gt;Summary!$V$4,0,H308+F308)</f>
        <v>117593</v>
      </c>
      <c r="I309" s="26">
        <f>DATE(YEAR(Summary!$V$2),MONTH(Summary!$V$2),DAY(Summary!$V$2)+INT(H309/480))</f>
        <v>43834</v>
      </c>
      <c r="J309" s="27">
        <f t="shared" si="5"/>
        <v>0.66180555555555554</v>
      </c>
    </row>
    <row r="310" spans="1:10">
      <c r="A310" t="str">
        <f>VLOOKUP(Summary!M309,Summary!$P$13:$Q$24,2)</f>
        <v>B1200-plum</v>
      </c>
      <c r="B310">
        <f>ROUND(NORMINV(Summary!M311,VLOOKUP(A310,Summary!$Q$13:$S$24,3,FALSE),VLOOKUP(A310,Summary!$Q$13:$S$24,3,FALSE)/6),-1)</f>
        <v>400</v>
      </c>
      <c r="C310" t="str">
        <f>IF(AND(H310=0,C309=Summary!$P$2),Summary!$Q$2,IF(AND(H310=0,C309=Summary!$Q$2),Summary!$R$2,C309))</f>
        <v>Neesha</v>
      </c>
      <c r="D310" t="str">
        <f>IF(C310=Summary!$P$26,VLOOKUP(Summary!M317,Summary!$Q$26:$R$27,2),IF('Run Data'!C310=Summary!$P$28,VLOOKUP(Summary!M317,Summary!$Q$28:$R$29,2),VLOOKUP(Summary!M317,Summary!$Q$30:$R$32,2)))</f>
        <v>Sprig 4</v>
      </c>
      <c r="E310" t="str">
        <f>VLOOKUP(Summary!M320,Summary!$P$42:$Q$43,2)</f>
        <v>86</v>
      </c>
      <c r="F310">
        <f>IF(LEFT(A310,3)="B60",20,IF(LEFT(A310,3)="B12",30,25))+B310*0.5+INT(Summary!M323*20)</f>
        <v>245</v>
      </c>
      <c r="G310">
        <f>ROUND(IF(OR(ISERROR(FIND(Summary!$P$89,CONCATENATE(C310,D310,E310))),ISERROR(FIND(Summary!$Q$89,A310))),Summary!$R$45,IF(H310&gt;Summary!$V$3,Summary!$R$46,Summary!$R$45))*(B310+30),0)</f>
        <v>4</v>
      </c>
      <c r="H310">
        <f>IF(H309&gt;Summary!$V$4,0,H309+F309)</f>
        <v>117849</v>
      </c>
      <c r="I310" s="26">
        <f>DATE(YEAR(Summary!$V$2),MONTH(Summary!$V$2),DAY(Summary!$V$2)+INT(H310/480))</f>
        <v>43835</v>
      </c>
      <c r="J310" s="27">
        <f t="shared" si="5"/>
        <v>0.50624999999999998</v>
      </c>
    </row>
    <row r="311" spans="1:10">
      <c r="A311" t="str">
        <f>VLOOKUP(Summary!M310,Summary!$P$13:$Q$24,2)</f>
        <v>B1700-plum</v>
      </c>
      <c r="B311">
        <f>ROUND(NORMINV(Summary!M312,VLOOKUP(A311,Summary!$Q$13:$S$24,3,FALSE),VLOOKUP(A311,Summary!$Q$13:$S$24,3,FALSE)/6),-1)</f>
        <v>460</v>
      </c>
      <c r="C311" t="str">
        <f>IF(AND(H311=0,C310=Summary!$P$2),Summary!$Q$2,IF(AND(H311=0,C310=Summary!$Q$2),Summary!$R$2,C310))</f>
        <v>Neesha</v>
      </c>
      <c r="D311" t="str">
        <f>IF(C311=Summary!$P$26,VLOOKUP(Summary!M318,Summary!$Q$26:$R$27,2),IF('Run Data'!C311=Summary!$P$28,VLOOKUP(Summary!M318,Summary!$Q$28:$R$29,2),VLOOKUP(Summary!M318,Summary!$Q$30:$R$32,2)))</f>
        <v>Sprig 1</v>
      </c>
      <c r="E311" t="str">
        <f>VLOOKUP(Summary!M321,Summary!$P$42:$Q$43,2)</f>
        <v>86</v>
      </c>
      <c r="F311">
        <f>IF(LEFT(A311,3)="B60",20,IF(LEFT(A311,3)="B12",30,25))+B311*0.5+INT(Summary!M324*20)</f>
        <v>255</v>
      </c>
      <c r="G311">
        <f>ROUND(IF(OR(ISERROR(FIND(Summary!$P$89,CONCATENATE(C311,D311,E311))),ISERROR(FIND(Summary!$Q$89,A311))),Summary!$R$45,IF(H311&gt;Summary!$V$3,Summary!$R$46,Summary!$R$45))*(B311+30),0)</f>
        <v>59</v>
      </c>
      <c r="H311">
        <f>IF(H310&gt;Summary!$V$4,0,H310+F310)</f>
        <v>118094</v>
      </c>
      <c r="I311" s="26">
        <f>DATE(YEAR(Summary!$V$2),MONTH(Summary!$V$2),DAY(Summary!$V$2)+INT(H311/480))</f>
        <v>43836</v>
      </c>
      <c r="J311" s="27">
        <f t="shared" si="5"/>
        <v>0.3430555555555555</v>
      </c>
    </row>
    <row r="312" spans="1:10">
      <c r="A312" t="str">
        <f>VLOOKUP(Summary!M311,Summary!$P$13:$Q$24,2)</f>
        <v>B1200-plum</v>
      </c>
      <c r="B312">
        <f>ROUND(NORMINV(Summary!M313,VLOOKUP(A312,Summary!$Q$13:$S$24,3,FALSE),VLOOKUP(A312,Summary!$Q$13:$S$24,3,FALSE)/6),-1)</f>
        <v>390</v>
      </c>
      <c r="C312" t="str">
        <f>IF(AND(H312=0,C311=Summary!$P$2),Summary!$Q$2,IF(AND(H312=0,C311=Summary!$Q$2),Summary!$R$2,C311))</f>
        <v>Neesha</v>
      </c>
      <c r="D312" t="str">
        <f>IF(C312=Summary!$P$26,VLOOKUP(Summary!M319,Summary!$Q$26:$R$27,2),IF('Run Data'!C312=Summary!$P$28,VLOOKUP(Summary!M319,Summary!$Q$28:$R$29,2),VLOOKUP(Summary!M319,Summary!$Q$30:$R$32,2)))</f>
        <v>Sprig 1</v>
      </c>
      <c r="E312" t="str">
        <f>VLOOKUP(Summary!M322,Summary!$P$42:$Q$43,2)</f>
        <v>86</v>
      </c>
      <c r="F312">
        <f>IF(LEFT(A312,3)="B60",20,IF(LEFT(A312,3)="B12",30,25))+B312*0.5+INT(Summary!M325*20)</f>
        <v>229</v>
      </c>
      <c r="G312">
        <f>ROUND(IF(OR(ISERROR(FIND(Summary!$P$89,CONCATENATE(C312,D312,E312))),ISERROR(FIND(Summary!$Q$89,A312))),Summary!$R$45,IF(H312&gt;Summary!$V$3,Summary!$R$46,Summary!$R$45))*(B312+30),0)</f>
        <v>4</v>
      </c>
      <c r="H312">
        <f>IF(H311&gt;Summary!$V$4,0,H311+F311)</f>
        <v>118349</v>
      </c>
      <c r="I312" s="26">
        <f>DATE(YEAR(Summary!$V$2),MONTH(Summary!$V$2),DAY(Summary!$V$2)+INT(H312/480))</f>
        <v>43836</v>
      </c>
      <c r="J312" s="27">
        <f t="shared" si="5"/>
        <v>0.52013888888888882</v>
      </c>
    </row>
    <row r="313" spans="1:10">
      <c r="A313" t="str">
        <f>VLOOKUP(Summary!M312,Summary!$P$13:$Q$24,2)</f>
        <v>B1700-lime</v>
      </c>
      <c r="B313">
        <f>ROUND(NORMINV(Summary!M314,VLOOKUP(A313,Summary!$Q$13:$S$24,3,FALSE),VLOOKUP(A313,Summary!$Q$13:$S$24,3,FALSE)/6),-1)</f>
        <v>380</v>
      </c>
      <c r="C313" t="str">
        <f>IF(AND(H313=0,C312=Summary!$P$2),Summary!$Q$2,IF(AND(H313=0,C312=Summary!$Q$2),Summary!$R$2,C312))</f>
        <v>Neesha</v>
      </c>
      <c r="D313" t="str">
        <f>IF(C313=Summary!$P$26,VLOOKUP(Summary!M320,Summary!$Q$26:$R$27,2),IF('Run Data'!C313=Summary!$P$28,VLOOKUP(Summary!M320,Summary!$Q$28:$R$29,2),VLOOKUP(Summary!M320,Summary!$Q$30:$R$32,2)))</f>
        <v>Sprig 1</v>
      </c>
      <c r="E313" t="str">
        <f>VLOOKUP(Summary!M323,Summary!$P$42:$Q$43,2)</f>
        <v>86</v>
      </c>
      <c r="F313">
        <f>IF(LEFT(A313,3)="B60",20,IF(LEFT(A313,3)="B12",30,25))+B313*0.5+INT(Summary!M326*20)</f>
        <v>222</v>
      </c>
      <c r="G313">
        <f>ROUND(IF(OR(ISERROR(FIND(Summary!$P$89,CONCATENATE(C313,D313,E313))),ISERROR(FIND(Summary!$Q$89,A313))),Summary!$R$45,IF(H313&gt;Summary!$V$3,Summary!$R$46,Summary!$R$45))*(B313+30),0)</f>
        <v>49</v>
      </c>
      <c r="H313">
        <f>IF(H312&gt;Summary!$V$4,0,H312+F312)</f>
        <v>118578</v>
      </c>
      <c r="I313" s="26">
        <f>DATE(YEAR(Summary!$V$2),MONTH(Summary!$V$2),DAY(Summary!$V$2)+INT(H313/480))</f>
        <v>43837</v>
      </c>
      <c r="J313" s="27">
        <f t="shared" si="5"/>
        <v>0.34583333333333338</v>
      </c>
    </row>
    <row r="314" spans="1:10">
      <c r="A314" t="str">
        <f>VLOOKUP(Summary!M313,Summary!$P$13:$Q$24,2)</f>
        <v>B600-lime</v>
      </c>
      <c r="B314">
        <f>ROUND(NORMINV(Summary!M315,VLOOKUP(A314,Summary!$Q$13:$S$24,3,FALSE),VLOOKUP(A314,Summary!$Q$13:$S$24,3,FALSE)/6),-1)</f>
        <v>360</v>
      </c>
      <c r="C314" t="str">
        <f>IF(AND(H314=0,C313=Summary!$P$2),Summary!$Q$2,IF(AND(H314=0,C313=Summary!$Q$2),Summary!$R$2,C313))</f>
        <v>Neesha</v>
      </c>
      <c r="D314" t="str">
        <f>IF(C314=Summary!$P$26,VLOOKUP(Summary!M321,Summary!$Q$26:$R$27,2),IF('Run Data'!C314=Summary!$P$28,VLOOKUP(Summary!M321,Summary!$Q$28:$R$29,2),VLOOKUP(Summary!M321,Summary!$Q$30:$R$32,2)))</f>
        <v>Sprig 1</v>
      </c>
      <c r="E314" t="str">
        <f>VLOOKUP(Summary!M324,Summary!$P$42:$Q$43,2)</f>
        <v>86</v>
      </c>
      <c r="F314">
        <f>IF(LEFT(A314,3)="B60",20,IF(LEFT(A314,3)="B12",30,25))+B314*0.5+INT(Summary!M327*20)</f>
        <v>215</v>
      </c>
      <c r="G314">
        <f>ROUND(IF(OR(ISERROR(FIND(Summary!$P$89,CONCATENATE(C314,D314,E314))),ISERROR(FIND(Summary!$Q$89,A314))),Summary!$R$45,IF(H314&gt;Summary!$V$3,Summary!$R$46,Summary!$R$45))*(B314+30),0)</f>
        <v>4</v>
      </c>
      <c r="H314">
        <f>IF(H313&gt;Summary!$V$4,0,H313+F313)</f>
        <v>118800</v>
      </c>
      <c r="I314" s="26">
        <f>DATE(YEAR(Summary!$V$2),MONTH(Summary!$V$2),DAY(Summary!$V$2)+INT(H314/480))</f>
        <v>43837</v>
      </c>
      <c r="J314" s="27">
        <f t="shared" si="5"/>
        <v>0.5</v>
      </c>
    </row>
    <row r="315" spans="1:10">
      <c r="A315" t="str">
        <f>VLOOKUP(Summary!M314,Summary!$P$13:$Q$24,2)</f>
        <v>B1200-sky</v>
      </c>
      <c r="B315">
        <f>ROUND(NORMINV(Summary!M316,VLOOKUP(A315,Summary!$Q$13:$S$24,3,FALSE),VLOOKUP(A315,Summary!$Q$13:$S$24,3,FALSE)/6),-1)</f>
        <v>1250</v>
      </c>
      <c r="C315" t="str">
        <f>IF(AND(H315=0,C314=Summary!$P$2),Summary!$Q$2,IF(AND(H315=0,C314=Summary!$Q$2),Summary!$R$2,C314))</f>
        <v>Neesha</v>
      </c>
      <c r="D315" t="str">
        <f>IF(C315=Summary!$P$26,VLOOKUP(Summary!M322,Summary!$Q$26:$R$27,2),IF('Run Data'!C315=Summary!$P$28,VLOOKUP(Summary!M322,Summary!$Q$28:$R$29,2),VLOOKUP(Summary!M322,Summary!$Q$30:$R$32,2)))</f>
        <v>Sprig 1</v>
      </c>
      <c r="E315" t="str">
        <f>VLOOKUP(Summary!M325,Summary!$P$42:$Q$43,2)</f>
        <v>86</v>
      </c>
      <c r="F315">
        <f>IF(LEFT(A315,3)="B60",20,IF(LEFT(A315,3)="B12",30,25))+B315*0.5+INT(Summary!M328*20)</f>
        <v>667</v>
      </c>
      <c r="G315">
        <f>ROUND(IF(OR(ISERROR(FIND(Summary!$P$89,CONCATENATE(C315,D315,E315))),ISERROR(FIND(Summary!$Q$89,A315))),Summary!$R$45,IF(H315&gt;Summary!$V$3,Summary!$R$46,Summary!$R$45))*(B315+30),0)</f>
        <v>13</v>
      </c>
      <c r="H315">
        <f>IF(H314&gt;Summary!$V$4,0,H314+F314)</f>
        <v>119015</v>
      </c>
      <c r="I315" s="26">
        <f>DATE(YEAR(Summary!$V$2),MONTH(Summary!$V$2),DAY(Summary!$V$2)+INT(H315/480))</f>
        <v>43837</v>
      </c>
      <c r="J315" s="27">
        <f t="shared" si="5"/>
        <v>0.64930555555555558</v>
      </c>
    </row>
    <row r="316" spans="1:10">
      <c r="A316" t="str">
        <f>VLOOKUP(Summary!M315,Summary!$P$13:$Q$24,2)</f>
        <v>B1700-fire</v>
      </c>
      <c r="B316">
        <f>ROUND(NORMINV(Summary!M317,VLOOKUP(A316,Summary!$Q$13:$S$24,3,FALSE),VLOOKUP(A316,Summary!$Q$13:$S$24,3,FALSE)/6),-1)</f>
        <v>860</v>
      </c>
      <c r="C316" t="str">
        <f>IF(AND(H316=0,C315=Summary!$P$2),Summary!$Q$2,IF(AND(H316=0,C315=Summary!$Q$2),Summary!$R$2,C315))</f>
        <v>Neesha</v>
      </c>
      <c r="D316" t="str">
        <f>IF(C316=Summary!$P$26,VLOOKUP(Summary!M323,Summary!$Q$26:$R$27,2),IF('Run Data'!C316=Summary!$P$28,VLOOKUP(Summary!M323,Summary!$Q$28:$R$29,2),VLOOKUP(Summary!M323,Summary!$Q$30:$R$32,2)))</f>
        <v>Sprig 4</v>
      </c>
      <c r="E316" t="str">
        <f>VLOOKUP(Summary!M326,Summary!$P$42:$Q$43,2)</f>
        <v>86</v>
      </c>
      <c r="F316">
        <f>IF(LEFT(A316,3)="B60",20,IF(LEFT(A316,3)="B12",30,25))+B316*0.5+INT(Summary!M329*20)</f>
        <v>455</v>
      </c>
      <c r="G316">
        <f>ROUND(IF(OR(ISERROR(FIND(Summary!$P$89,CONCATENATE(C316,D316,E316))),ISERROR(FIND(Summary!$Q$89,A316))),Summary!$R$45,IF(H316&gt;Summary!$V$3,Summary!$R$46,Summary!$R$45))*(B316+30),0)</f>
        <v>107</v>
      </c>
      <c r="H316">
        <f>IF(H315&gt;Summary!$V$4,0,H315+F315)</f>
        <v>119682</v>
      </c>
      <c r="I316" s="26">
        <f>DATE(YEAR(Summary!$V$2),MONTH(Summary!$V$2),DAY(Summary!$V$2)+INT(H316/480))</f>
        <v>43839</v>
      </c>
      <c r="J316" s="27">
        <f t="shared" si="5"/>
        <v>0.4458333333333333</v>
      </c>
    </row>
    <row r="317" spans="1:10">
      <c r="A317" t="str">
        <f>VLOOKUP(Summary!M316,Summary!$P$13:$Q$24,2)</f>
        <v>B1200-lime</v>
      </c>
      <c r="B317">
        <f>ROUND(NORMINV(Summary!M318,VLOOKUP(A317,Summary!$Q$13:$S$24,3,FALSE),VLOOKUP(A317,Summary!$Q$13:$S$24,3,FALSE)/6),-1)</f>
        <v>790</v>
      </c>
      <c r="C317" t="str">
        <f>IF(AND(H317=0,C316=Summary!$P$2),Summary!$Q$2,IF(AND(H317=0,C316=Summary!$Q$2),Summary!$R$2,C316))</f>
        <v>Neesha</v>
      </c>
      <c r="D317" t="str">
        <f>IF(C317=Summary!$P$26,VLOOKUP(Summary!M324,Summary!$Q$26:$R$27,2),IF('Run Data'!C317=Summary!$P$28,VLOOKUP(Summary!M324,Summary!$Q$28:$R$29,2),VLOOKUP(Summary!M324,Summary!$Q$30:$R$32,2)))</f>
        <v>Sprig 1</v>
      </c>
      <c r="E317" t="str">
        <f>VLOOKUP(Summary!M327,Summary!$P$42:$Q$43,2)</f>
        <v>86</v>
      </c>
      <c r="F317">
        <f>IF(LEFT(A317,3)="B60",20,IF(LEFT(A317,3)="B12",30,25))+B317*0.5+INT(Summary!M330*20)</f>
        <v>429</v>
      </c>
      <c r="G317">
        <f>ROUND(IF(OR(ISERROR(FIND(Summary!$P$89,CONCATENATE(C317,D317,E317))),ISERROR(FIND(Summary!$Q$89,A317))),Summary!$R$45,IF(H317&gt;Summary!$V$3,Summary!$R$46,Summary!$R$45))*(B317+30),0)</f>
        <v>8</v>
      </c>
      <c r="H317">
        <f>IF(H316&gt;Summary!$V$4,0,H316+F316)</f>
        <v>120137</v>
      </c>
      <c r="I317" s="26">
        <f>DATE(YEAR(Summary!$V$2),MONTH(Summary!$V$2),DAY(Summary!$V$2)+INT(H317/480))</f>
        <v>43840</v>
      </c>
      <c r="J317" s="27">
        <f t="shared" si="5"/>
        <v>0.4284722222222222</v>
      </c>
    </row>
    <row r="318" spans="1:10">
      <c r="A318" t="str">
        <f>VLOOKUP(Summary!M317,Summary!$P$13:$Q$24,2)</f>
        <v>B1700-sky</v>
      </c>
      <c r="B318">
        <f>ROUND(NORMINV(Summary!M319,VLOOKUP(A318,Summary!$Q$13:$S$24,3,FALSE),VLOOKUP(A318,Summary!$Q$13:$S$24,3,FALSE)/6),-1)</f>
        <v>420</v>
      </c>
      <c r="C318" t="str">
        <f>IF(AND(H318=0,C317=Summary!$P$2),Summary!$Q$2,IF(AND(H318=0,C317=Summary!$Q$2),Summary!$R$2,C317))</f>
        <v>Neesha</v>
      </c>
      <c r="D318" t="str">
        <f>IF(C318=Summary!$P$26,VLOOKUP(Summary!M325,Summary!$Q$26:$R$27,2),IF('Run Data'!C318=Summary!$P$28,VLOOKUP(Summary!M325,Summary!$Q$28:$R$29,2),VLOOKUP(Summary!M325,Summary!$Q$30:$R$32,2)))</f>
        <v>Sprig 1</v>
      </c>
      <c r="E318" t="str">
        <f>VLOOKUP(Summary!M328,Summary!$P$42:$Q$43,2)</f>
        <v>86</v>
      </c>
      <c r="F318">
        <f>IF(LEFT(A318,3)="B60",20,IF(LEFT(A318,3)="B12",30,25))+B318*0.5+INT(Summary!M331*20)</f>
        <v>236</v>
      </c>
      <c r="G318">
        <f>ROUND(IF(OR(ISERROR(FIND(Summary!$P$89,CONCATENATE(C318,D318,E318))),ISERROR(FIND(Summary!$Q$89,A318))),Summary!$R$45,IF(H318&gt;Summary!$V$3,Summary!$R$46,Summary!$R$45))*(B318+30),0)</f>
        <v>54</v>
      </c>
      <c r="H318">
        <f>IF(H317&gt;Summary!$V$4,0,H317+F317)</f>
        <v>120566</v>
      </c>
      <c r="I318" s="26">
        <f>DATE(YEAR(Summary!$V$2),MONTH(Summary!$V$2),DAY(Summary!$V$2)+INT(H318/480))</f>
        <v>43841</v>
      </c>
      <c r="J318" s="27">
        <f t="shared" si="5"/>
        <v>0.39305555555555555</v>
      </c>
    </row>
    <row r="319" spans="1:10">
      <c r="A319" t="str">
        <f>VLOOKUP(Summary!M318,Summary!$P$13:$Q$24,2)</f>
        <v>B1200-fire</v>
      </c>
      <c r="B319">
        <f>ROUND(NORMINV(Summary!M320,VLOOKUP(A319,Summary!$Q$13:$S$24,3,FALSE),VLOOKUP(A319,Summary!$Q$13:$S$24,3,FALSE)/6),-1)</f>
        <v>1060</v>
      </c>
      <c r="C319" t="str">
        <f>IF(AND(H319=0,C318=Summary!$P$2),Summary!$Q$2,IF(AND(H319=0,C318=Summary!$Q$2),Summary!$R$2,C318))</f>
        <v>Neesha</v>
      </c>
      <c r="D319" t="str">
        <f>IF(C319=Summary!$P$26,VLOOKUP(Summary!M326,Summary!$Q$26:$R$27,2),IF('Run Data'!C319=Summary!$P$28,VLOOKUP(Summary!M326,Summary!$Q$28:$R$29,2),VLOOKUP(Summary!M326,Summary!$Q$30:$R$32,2)))</f>
        <v>Sprig 1</v>
      </c>
      <c r="E319" t="str">
        <f>VLOOKUP(Summary!M329,Summary!$P$42:$Q$43,2)</f>
        <v>86</v>
      </c>
      <c r="F319">
        <f>IF(LEFT(A319,3)="B60",20,IF(LEFT(A319,3)="B12",30,25))+B319*0.5+INT(Summary!M332*20)</f>
        <v>569</v>
      </c>
      <c r="G319">
        <f>ROUND(IF(OR(ISERROR(FIND(Summary!$P$89,CONCATENATE(C319,D319,E319))),ISERROR(FIND(Summary!$Q$89,A319))),Summary!$R$45,IF(H319&gt;Summary!$V$3,Summary!$R$46,Summary!$R$45))*(B319+30),0)</f>
        <v>11</v>
      </c>
      <c r="H319">
        <f>IF(H318&gt;Summary!$V$4,0,H318+F318)</f>
        <v>120802</v>
      </c>
      <c r="I319" s="26">
        <f>DATE(YEAR(Summary!$V$2),MONTH(Summary!$V$2),DAY(Summary!$V$2)+INT(H319/480))</f>
        <v>43841</v>
      </c>
      <c r="J319" s="27">
        <f t="shared" si="5"/>
        <v>0.55694444444444446</v>
      </c>
    </row>
    <row r="320" spans="1:10">
      <c r="A320" t="str">
        <f>VLOOKUP(Summary!M319,Summary!$P$13:$Q$24,2)</f>
        <v>B600-sky</v>
      </c>
      <c r="B320">
        <f>ROUND(NORMINV(Summary!M321,VLOOKUP(A320,Summary!$Q$13:$S$24,3,FALSE),VLOOKUP(A320,Summary!$Q$13:$S$24,3,FALSE)/6),-1)</f>
        <v>480</v>
      </c>
      <c r="C320" t="str">
        <f>IF(AND(H320=0,C319=Summary!$P$2),Summary!$Q$2,IF(AND(H320=0,C319=Summary!$Q$2),Summary!$R$2,C319))</f>
        <v>Neesha</v>
      </c>
      <c r="D320" t="str">
        <f>IF(C320=Summary!$P$26,VLOOKUP(Summary!M327,Summary!$Q$26:$R$27,2),IF('Run Data'!C320=Summary!$P$28,VLOOKUP(Summary!M327,Summary!$Q$28:$R$29,2),VLOOKUP(Summary!M327,Summary!$Q$30:$R$32,2)))</f>
        <v>Sprig 4</v>
      </c>
      <c r="E320" t="str">
        <f>VLOOKUP(Summary!M330,Summary!$P$42:$Q$43,2)</f>
        <v>86</v>
      </c>
      <c r="F320">
        <f>IF(LEFT(A320,3)="B60",20,IF(LEFT(A320,3)="B12",30,25))+B320*0.5+INT(Summary!M333*20)</f>
        <v>268</v>
      </c>
      <c r="G320">
        <f>ROUND(IF(OR(ISERROR(FIND(Summary!$P$89,CONCATENATE(C320,D320,E320))),ISERROR(FIND(Summary!$Q$89,A320))),Summary!$R$45,IF(H320&gt;Summary!$V$3,Summary!$R$46,Summary!$R$45))*(B320+30),0)</f>
        <v>5</v>
      </c>
      <c r="H320">
        <f>IF(H319&gt;Summary!$V$4,0,H319+F319)</f>
        <v>121371</v>
      </c>
      <c r="I320" s="26">
        <f>DATE(YEAR(Summary!$V$2),MONTH(Summary!$V$2),DAY(Summary!$V$2)+INT(H320/480))</f>
        <v>43842</v>
      </c>
      <c r="J320" s="27">
        <f t="shared" si="5"/>
        <v>0.61875000000000002</v>
      </c>
    </row>
    <row r="321" spans="1:10">
      <c r="A321" t="str">
        <f>VLOOKUP(Summary!M320,Summary!$P$13:$Q$24,2)</f>
        <v>B1200-plum</v>
      </c>
      <c r="B321">
        <f>ROUND(NORMINV(Summary!M322,VLOOKUP(A321,Summary!$Q$13:$S$24,3,FALSE),VLOOKUP(A321,Summary!$Q$13:$S$24,3,FALSE)/6),-1)</f>
        <v>420</v>
      </c>
      <c r="C321" t="str">
        <f>IF(AND(H321=0,C320=Summary!$P$2),Summary!$Q$2,IF(AND(H321=0,C320=Summary!$Q$2),Summary!$R$2,C320))</f>
        <v>Neesha</v>
      </c>
      <c r="D321" t="str">
        <f>IF(C321=Summary!$P$26,VLOOKUP(Summary!M328,Summary!$Q$26:$R$27,2),IF('Run Data'!C321=Summary!$P$28,VLOOKUP(Summary!M328,Summary!$Q$28:$R$29,2),VLOOKUP(Summary!M328,Summary!$Q$30:$R$32,2)))</f>
        <v>Sprig 1</v>
      </c>
      <c r="E321" t="str">
        <f>VLOOKUP(Summary!M331,Summary!$P$42:$Q$43,2)</f>
        <v>86</v>
      </c>
      <c r="F321">
        <f>IF(LEFT(A321,3)="B60",20,IF(LEFT(A321,3)="B12",30,25))+B321*0.5+INT(Summary!M334*20)</f>
        <v>245</v>
      </c>
      <c r="G321">
        <f>ROUND(IF(OR(ISERROR(FIND(Summary!$P$89,CONCATENATE(C321,D321,E321))),ISERROR(FIND(Summary!$Q$89,A321))),Summary!$R$45,IF(H321&gt;Summary!$V$3,Summary!$R$46,Summary!$R$45))*(B321+30),0)</f>
        <v>5</v>
      </c>
      <c r="H321">
        <f>IF(H320&gt;Summary!$V$4,0,H320+F320)</f>
        <v>121639</v>
      </c>
      <c r="I321" s="26">
        <f>DATE(YEAR(Summary!$V$2),MONTH(Summary!$V$2),DAY(Summary!$V$2)+INT(H321/480))</f>
        <v>43843</v>
      </c>
      <c r="J321" s="27">
        <f t="shared" si="5"/>
        <v>0.47152777777777777</v>
      </c>
    </row>
    <row r="322" spans="1:10">
      <c r="A322" t="str">
        <f>VLOOKUP(Summary!M321,Summary!$P$13:$Q$24,2)</f>
        <v>B1200-sky</v>
      </c>
      <c r="B322">
        <f>ROUND(NORMINV(Summary!M323,VLOOKUP(A322,Summary!$Q$13:$S$24,3,FALSE),VLOOKUP(A322,Summary!$Q$13:$S$24,3,FALSE)/6),-1)</f>
        <v>1340</v>
      </c>
      <c r="C322" t="str">
        <f>IF(AND(H322=0,C321=Summary!$P$2),Summary!$Q$2,IF(AND(H322=0,C321=Summary!$Q$2),Summary!$R$2,C321))</f>
        <v>Neesha</v>
      </c>
      <c r="D322" t="str">
        <f>IF(C322=Summary!$P$26,VLOOKUP(Summary!M329,Summary!$Q$26:$R$27,2),IF('Run Data'!C322=Summary!$P$28,VLOOKUP(Summary!M329,Summary!$Q$28:$R$29,2),VLOOKUP(Summary!M329,Summary!$Q$30:$R$32,2)))</f>
        <v>Sprig 1</v>
      </c>
      <c r="E322" t="str">
        <f>VLOOKUP(Summary!M332,Summary!$P$42:$Q$43,2)</f>
        <v>86</v>
      </c>
      <c r="F322">
        <f>IF(LEFT(A322,3)="B60",20,IF(LEFT(A322,3)="B12",30,25))+B322*0.5+INT(Summary!M335*20)</f>
        <v>702</v>
      </c>
      <c r="G322">
        <f>ROUND(IF(OR(ISERROR(FIND(Summary!$P$89,CONCATENATE(C322,D322,E322))),ISERROR(FIND(Summary!$Q$89,A322))),Summary!$R$45,IF(H322&gt;Summary!$V$3,Summary!$R$46,Summary!$R$45))*(B322+30),0)</f>
        <v>14</v>
      </c>
      <c r="H322">
        <f>IF(H321&gt;Summary!$V$4,0,H321+F321)</f>
        <v>121884</v>
      </c>
      <c r="I322" s="26">
        <f>DATE(YEAR(Summary!$V$2),MONTH(Summary!$V$2),DAY(Summary!$V$2)+INT(H322/480))</f>
        <v>43843</v>
      </c>
      <c r="J322" s="27">
        <f t="shared" si="5"/>
        <v>0.64166666666666672</v>
      </c>
    </row>
    <row r="323" spans="1:10">
      <c r="A323" t="str">
        <f>VLOOKUP(Summary!M322,Summary!$P$13:$Q$24,2)</f>
        <v>B1200-sky</v>
      </c>
      <c r="B323">
        <f>ROUND(NORMINV(Summary!M324,VLOOKUP(A323,Summary!$Q$13:$S$24,3,FALSE),VLOOKUP(A323,Summary!$Q$13:$S$24,3,FALSE)/6),-1)</f>
        <v>740</v>
      </c>
      <c r="C323" t="str">
        <f>IF(AND(H323=0,C322=Summary!$P$2),Summary!$Q$2,IF(AND(H323=0,C322=Summary!$Q$2),Summary!$R$2,C322))</f>
        <v>Neesha</v>
      </c>
      <c r="D323" t="str">
        <f>IF(C323=Summary!$P$26,VLOOKUP(Summary!M330,Summary!$Q$26:$R$27,2),IF('Run Data'!C323=Summary!$P$28,VLOOKUP(Summary!M330,Summary!$Q$28:$R$29,2),VLOOKUP(Summary!M330,Summary!$Q$30:$R$32,2)))</f>
        <v>Sprig 1</v>
      </c>
      <c r="E323" t="str">
        <f>VLOOKUP(Summary!M333,Summary!$P$42:$Q$43,2)</f>
        <v>86</v>
      </c>
      <c r="F323">
        <f>IF(LEFT(A323,3)="B60",20,IF(LEFT(A323,3)="B12",30,25))+B323*0.5+INT(Summary!M336*20)</f>
        <v>407</v>
      </c>
      <c r="G323">
        <f>ROUND(IF(OR(ISERROR(FIND(Summary!$P$89,CONCATENATE(C323,D323,E323))),ISERROR(FIND(Summary!$Q$89,A323))),Summary!$R$45,IF(H323&gt;Summary!$V$3,Summary!$R$46,Summary!$R$45))*(B323+30),0)</f>
        <v>8</v>
      </c>
      <c r="H323">
        <f>IF(H322&gt;Summary!$V$4,0,H322+F322)</f>
        <v>122586</v>
      </c>
      <c r="I323" s="26">
        <f>DATE(YEAR(Summary!$V$2),MONTH(Summary!$V$2),DAY(Summary!$V$2)+INT(H323/480))</f>
        <v>43845</v>
      </c>
      <c r="J323" s="27">
        <f t="shared" si="5"/>
        <v>0.46249999999999997</v>
      </c>
    </row>
    <row r="324" spans="1:10">
      <c r="A324" t="str">
        <f>VLOOKUP(Summary!M323,Summary!$P$13:$Q$24,2)</f>
        <v>B1700-plum</v>
      </c>
      <c r="B324">
        <f>ROUND(NORMINV(Summary!M325,VLOOKUP(A324,Summary!$Q$13:$S$24,3,FALSE),VLOOKUP(A324,Summary!$Q$13:$S$24,3,FALSE)/6),-1)</f>
        <v>270</v>
      </c>
      <c r="C324" t="str">
        <f>IF(AND(H324=0,C323=Summary!$P$2),Summary!$Q$2,IF(AND(H324=0,C323=Summary!$Q$2),Summary!$R$2,C323))</f>
        <v>Neesha</v>
      </c>
      <c r="D324" t="str">
        <f>IF(C324=Summary!$P$26,VLOOKUP(Summary!M331,Summary!$Q$26:$R$27,2),IF('Run Data'!C324=Summary!$P$28,VLOOKUP(Summary!M331,Summary!$Q$28:$R$29,2),VLOOKUP(Summary!M331,Summary!$Q$30:$R$32,2)))</f>
        <v>Sprig 1</v>
      </c>
      <c r="E324" t="str">
        <f>VLOOKUP(Summary!M334,Summary!$P$42:$Q$43,2)</f>
        <v>86</v>
      </c>
      <c r="F324">
        <f>IF(LEFT(A324,3)="B60",20,IF(LEFT(A324,3)="B12",30,25))+B324*0.5+INT(Summary!M337*20)</f>
        <v>177</v>
      </c>
      <c r="G324">
        <f>ROUND(IF(OR(ISERROR(FIND(Summary!$P$89,CONCATENATE(C324,D324,E324))),ISERROR(FIND(Summary!$Q$89,A324))),Summary!$R$45,IF(H324&gt;Summary!$V$3,Summary!$R$46,Summary!$R$45))*(B324+30),0)</f>
        <v>36</v>
      </c>
      <c r="H324">
        <f>IF(H323&gt;Summary!$V$4,0,H323+F323)</f>
        <v>122993</v>
      </c>
      <c r="I324" s="26">
        <f>DATE(YEAR(Summary!$V$2),MONTH(Summary!$V$2),DAY(Summary!$V$2)+INT(H324/480))</f>
        <v>43846</v>
      </c>
      <c r="J324" s="27">
        <f t="shared" si="5"/>
        <v>0.41180555555555554</v>
      </c>
    </row>
    <row r="325" spans="1:10">
      <c r="A325" t="str">
        <f>VLOOKUP(Summary!M324,Summary!$P$13:$Q$24,2)</f>
        <v>B600-plum</v>
      </c>
      <c r="B325">
        <f>ROUND(NORMINV(Summary!M326,VLOOKUP(A325,Summary!$Q$13:$S$24,3,FALSE),VLOOKUP(A325,Summary!$Q$13:$S$24,3,FALSE)/6),-1)</f>
        <v>190</v>
      </c>
      <c r="C325" t="str">
        <f>IF(AND(H325=0,C324=Summary!$P$2),Summary!$Q$2,IF(AND(H325=0,C324=Summary!$Q$2),Summary!$R$2,C324))</f>
        <v>Neesha</v>
      </c>
      <c r="D325" t="str">
        <f>IF(C325=Summary!$P$26,VLOOKUP(Summary!M332,Summary!$Q$26:$R$27,2),IF('Run Data'!C325=Summary!$P$28,VLOOKUP(Summary!M332,Summary!$Q$28:$R$29,2),VLOOKUP(Summary!M332,Summary!$Q$30:$R$32,2)))</f>
        <v>Sprig 1</v>
      </c>
      <c r="E325" t="str">
        <f>VLOOKUP(Summary!M335,Summary!$P$42:$Q$43,2)</f>
        <v>86</v>
      </c>
      <c r="F325">
        <f>IF(LEFT(A325,3)="B60",20,IF(LEFT(A325,3)="B12",30,25))+B325*0.5+INT(Summary!M338*20)</f>
        <v>127</v>
      </c>
      <c r="G325">
        <f>ROUND(IF(OR(ISERROR(FIND(Summary!$P$89,CONCATENATE(C325,D325,E325))),ISERROR(FIND(Summary!$Q$89,A325))),Summary!$R$45,IF(H325&gt;Summary!$V$3,Summary!$R$46,Summary!$R$45))*(B325+30),0)</f>
        <v>2</v>
      </c>
      <c r="H325">
        <f>IF(H324&gt;Summary!$V$4,0,H324+F324)</f>
        <v>123170</v>
      </c>
      <c r="I325" s="26">
        <f>DATE(YEAR(Summary!$V$2),MONTH(Summary!$V$2),DAY(Summary!$V$2)+INT(H325/480))</f>
        <v>43846</v>
      </c>
      <c r="J325" s="27">
        <f t="shared" si="5"/>
        <v>0.53472222222222221</v>
      </c>
    </row>
    <row r="326" spans="1:10">
      <c r="A326" t="str">
        <f>VLOOKUP(Summary!M325,Summary!$P$13:$Q$24,2)</f>
        <v>B1200-plum</v>
      </c>
      <c r="B326">
        <f>ROUND(NORMINV(Summary!M327,VLOOKUP(A326,Summary!$Q$13:$S$24,3,FALSE),VLOOKUP(A326,Summary!$Q$13:$S$24,3,FALSE)/6),-1)</f>
        <v>500</v>
      </c>
      <c r="C326" t="str">
        <f>IF(AND(H326=0,C325=Summary!$P$2),Summary!$Q$2,IF(AND(H326=0,C325=Summary!$Q$2),Summary!$R$2,C325))</f>
        <v>Neesha</v>
      </c>
      <c r="D326" t="str">
        <f>IF(C326=Summary!$P$26,VLOOKUP(Summary!M333,Summary!$Q$26:$R$27,2),IF('Run Data'!C326=Summary!$P$28,VLOOKUP(Summary!M333,Summary!$Q$28:$R$29,2),VLOOKUP(Summary!M333,Summary!$Q$30:$R$32,2)))</f>
        <v>Sprig 1</v>
      </c>
      <c r="E326" t="str">
        <f>VLOOKUP(Summary!M336,Summary!$P$42:$Q$43,2)</f>
        <v>86</v>
      </c>
      <c r="F326">
        <f>IF(LEFT(A326,3)="B60",20,IF(LEFT(A326,3)="B12",30,25))+B326*0.5+INT(Summary!M339*20)</f>
        <v>286</v>
      </c>
      <c r="G326">
        <f>ROUND(IF(OR(ISERROR(FIND(Summary!$P$89,CONCATENATE(C326,D326,E326))),ISERROR(FIND(Summary!$Q$89,A326))),Summary!$R$45,IF(H326&gt;Summary!$V$3,Summary!$R$46,Summary!$R$45))*(B326+30),0)</f>
        <v>5</v>
      </c>
      <c r="H326">
        <f>IF(H325&gt;Summary!$V$4,0,H325+F325)</f>
        <v>123297</v>
      </c>
      <c r="I326" s="26">
        <f>DATE(YEAR(Summary!$V$2),MONTH(Summary!$V$2),DAY(Summary!$V$2)+INT(H326/480))</f>
        <v>43846</v>
      </c>
      <c r="J326" s="27">
        <f t="shared" si="5"/>
        <v>0.62291666666666667</v>
      </c>
    </row>
    <row r="327" spans="1:10">
      <c r="A327" t="str">
        <f>VLOOKUP(Summary!M326,Summary!$P$13:$Q$24,2)</f>
        <v>B1200-sky</v>
      </c>
      <c r="B327">
        <f>ROUND(NORMINV(Summary!M328,VLOOKUP(A327,Summary!$Q$13:$S$24,3,FALSE),VLOOKUP(A327,Summary!$Q$13:$S$24,3,FALSE)/6),-1)</f>
        <v>1270</v>
      </c>
      <c r="C327" t="str">
        <f>IF(AND(H327=0,C326=Summary!$P$2),Summary!$Q$2,IF(AND(H327=0,C326=Summary!$Q$2),Summary!$R$2,C326))</f>
        <v>Neesha</v>
      </c>
      <c r="D327" t="str">
        <f>IF(C327=Summary!$P$26,VLOOKUP(Summary!M334,Summary!$Q$26:$R$27,2),IF('Run Data'!C327=Summary!$P$28,VLOOKUP(Summary!M334,Summary!$Q$28:$R$29,2),VLOOKUP(Summary!M334,Summary!$Q$30:$R$32,2)))</f>
        <v>Sprig 1</v>
      </c>
      <c r="E327" t="str">
        <f>VLOOKUP(Summary!M337,Summary!$P$42:$Q$43,2)</f>
        <v>87b</v>
      </c>
      <c r="F327">
        <f>IF(LEFT(A327,3)="B60",20,IF(LEFT(A327,3)="B12",30,25))+B327*0.5+INT(Summary!M340*20)</f>
        <v>673</v>
      </c>
      <c r="G327">
        <f>ROUND(IF(OR(ISERROR(FIND(Summary!$P$89,CONCATENATE(C327,D327,E327))),ISERROR(FIND(Summary!$Q$89,A327))),Summary!$R$45,IF(H327&gt;Summary!$V$3,Summary!$R$46,Summary!$R$45))*(B327+30),0)</f>
        <v>13</v>
      </c>
      <c r="H327">
        <f>IF(H326&gt;Summary!$V$4,0,H326+F326)</f>
        <v>123583</v>
      </c>
      <c r="I327" s="26">
        <f>DATE(YEAR(Summary!$V$2),MONTH(Summary!$V$2),DAY(Summary!$V$2)+INT(H327/480))</f>
        <v>43847</v>
      </c>
      <c r="J327" s="27">
        <f t="shared" si="5"/>
        <v>0.48819444444444443</v>
      </c>
    </row>
    <row r="328" spans="1:10">
      <c r="A328" t="str">
        <f>VLOOKUP(Summary!M327,Summary!$P$13:$Q$24,2)</f>
        <v>B1700-plum</v>
      </c>
      <c r="B328">
        <f>ROUND(NORMINV(Summary!M329,VLOOKUP(A328,Summary!$Q$13:$S$24,3,FALSE),VLOOKUP(A328,Summary!$Q$13:$S$24,3,FALSE)/6),-1)</f>
        <v>200</v>
      </c>
      <c r="C328" t="str">
        <f>IF(AND(H328=0,C327=Summary!$P$2),Summary!$Q$2,IF(AND(H328=0,C327=Summary!$Q$2),Summary!$R$2,C327))</f>
        <v>Neesha</v>
      </c>
      <c r="D328" t="str">
        <f>IF(C328=Summary!$P$26,VLOOKUP(Summary!M335,Summary!$Q$26:$R$27,2),IF('Run Data'!C328=Summary!$P$28,VLOOKUP(Summary!M335,Summary!$Q$28:$R$29,2),VLOOKUP(Summary!M335,Summary!$Q$30:$R$32,2)))</f>
        <v>Sprig 1</v>
      </c>
      <c r="E328" t="str">
        <f>VLOOKUP(Summary!M338,Summary!$P$42:$Q$43,2)</f>
        <v>86</v>
      </c>
      <c r="F328">
        <f>IF(LEFT(A328,3)="B60",20,IF(LEFT(A328,3)="B12",30,25))+B328*0.5+INT(Summary!M341*20)</f>
        <v>139</v>
      </c>
      <c r="G328">
        <f>ROUND(IF(OR(ISERROR(FIND(Summary!$P$89,CONCATENATE(C328,D328,E328))),ISERROR(FIND(Summary!$Q$89,A328))),Summary!$R$45,IF(H328&gt;Summary!$V$3,Summary!$R$46,Summary!$R$45))*(B328+30),0)</f>
        <v>28</v>
      </c>
      <c r="H328">
        <f>IF(H327&gt;Summary!$V$4,0,H327+F327)</f>
        <v>124256</v>
      </c>
      <c r="I328" s="26">
        <f>DATE(YEAR(Summary!$V$2),MONTH(Summary!$V$2),DAY(Summary!$V$2)+INT(H328/480))</f>
        <v>43848</v>
      </c>
      <c r="J328" s="27">
        <f t="shared" si="5"/>
        <v>0.62222222222222223</v>
      </c>
    </row>
    <row r="329" spans="1:10">
      <c r="A329" t="str">
        <f>VLOOKUP(Summary!M328,Summary!$P$13:$Q$24,2)</f>
        <v>B1200-lime</v>
      </c>
      <c r="B329">
        <f>ROUND(NORMINV(Summary!M330,VLOOKUP(A329,Summary!$Q$13:$S$24,3,FALSE),VLOOKUP(A329,Summary!$Q$13:$S$24,3,FALSE)/6),-1)</f>
        <v>700</v>
      </c>
      <c r="C329" t="str">
        <f>IF(AND(H329=0,C328=Summary!$P$2),Summary!$Q$2,IF(AND(H329=0,C328=Summary!$Q$2),Summary!$R$2,C328))</f>
        <v>Neesha</v>
      </c>
      <c r="D329" t="str">
        <f>IF(C329=Summary!$P$26,VLOOKUP(Summary!M336,Summary!$Q$26:$R$27,2),IF('Run Data'!C329=Summary!$P$28,VLOOKUP(Summary!M336,Summary!$Q$28:$R$29,2),VLOOKUP(Summary!M336,Summary!$Q$30:$R$32,2)))</f>
        <v>Sprig 1</v>
      </c>
      <c r="E329" t="str">
        <f>VLOOKUP(Summary!M339,Summary!$P$42:$Q$43,2)</f>
        <v>86</v>
      </c>
      <c r="F329">
        <f>IF(LEFT(A329,3)="B60",20,IF(LEFT(A329,3)="B12",30,25))+B329*0.5+INT(Summary!M342*20)</f>
        <v>399</v>
      </c>
      <c r="G329">
        <f>ROUND(IF(OR(ISERROR(FIND(Summary!$P$89,CONCATENATE(C329,D329,E329))),ISERROR(FIND(Summary!$Q$89,A329))),Summary!$R$45,IF(H329&gt;Summary!$V$3,Summary!$R$46,Summary!$R$45))*(B329+30),0)</f>
        <v>7</v>
      </c>
      <c r="H329">
        <f>IF(H328&gt;Summary!$V$4,0,H328+F328)</f>
        <v>124395</v>
      </c>
      <c r="I329" s="26">
        <f>DATE(YEAR(Summary!$V$2),MONTH(Summary!$V$2),DAY(Summary!$V$2)+INT(H329/480))</f>
        <v>43849</v>
      </c>
      <c r="J329" s="27">
        <f t="shared" si="5"/>
        <v>0.38541666666666669</v>
      </c>
    </row>
    <row r="330" spans="1:10">
      <c r="A330" t="str">
        <f>VLOOKUP(Summary!M329,Summary!$P$13:$Q$24,2)</f>
        <v>B600-plum</v>
      </c>
      <c r="B330">
        <f>ROUND(NORMINV(Summary!M331,VLOOKUP(A330,Summary!$Q$13:$S$24,3,FALSE),VLOOKUP(A330,Summary!$Q$13:$S$24,3,FALSE)/6),-1)</f>
        <v>150</v>
      </c>
      <c r="C330" t="str">
        <f>IF(AND(H330=0,C329=Summary!$P$2),Summary!$Q$2,IF(AND(H330=0,C329=Summary!$Q$2),Summary!$R$2,C329))</f>
        <v>Neesha</v>
      </c>
      <c r="D330" t="str">
        <f>IF(C330=Summary!$P$26,VLOOKUP(Summary!M337,Summary!$Q$26:$R$27,2),IF('Run Data'!C330=Summary!$P$28,VLOOKUP(Summary!M337,Summary!$Q$28:$R$29,2),VLOOKUP(Summary!M337,Summary!$Q$30:$R$32,2)))</f>
        <v>Sprig 4</v>
      </c>
      <c r="E330" t="str">
        <f>VLOOKUP(Summary!M340,Summary!$P$42:$Q$43,2)</f>
        <v>86</v>
      </c>
      <c r="F330">
        <f>IF(LEFT(A330,3)="B60",20,IF(LEFT(A330,3)="B12",30,25))+B330*0.5+INT(Summary!M343*20)</f>
        <v>97</v>
      </c>
      <c r="G330">
        <f>ROUND(IF(OR(ISERROR(FIND(Summary!$P$89,CONCATENATE(C330,D330,E330))),ISERROR(FIND(Summary!$Q$89,A330))),Summary!$R$45,IF(H330&gt;Summary!$V$3,Summary!$R$46,Summary!$R$45))*(B330+30),0)</f>
        <v>2</v>
      </c>
      <c r="H330">
        <f>IF(H329&gt;Summary!$V$4,0,H329+F329)</f>
        <v>124794</v>
      </c>
      <c r="I330" s="26">
        <f>DATE(YEAR(Summary!$V$2),MONTH(Summary!$V$2),DAY(Summary!$V$2)+INT(H330/480))</f>
        <v>43849</v>
      </c>
      <c r="J330" s="27">
        <f t="shared" si="5"/>
        <v>0.66249999999999998</v>
      </c>
    </row>
    <row r="331" spans="1:10">
      <c r="A331" t="str">
        <f>VLOOKUP(Summary!M330,Summary!$P$13:$Q$24,2)</f>
        <v>B600-lime</v>
      </c>
      <c r="B331">
        <f>ROUND(NORMINV(Summary!M332,VLOOKUP(A331,Summary!$Q$13:$S$24,3,FALSE),VLOOKUP(A331,Summary!$Q$13:$S$24,3,FALSE)/6),-1)</f>
        <v>300</v>
      </c>
      <c r="C331" t="str">
        <f>IF(AND(H331=0,C330=Summary!$P$2),Summary!$Q$2,IF(AND(H331=0,C330=Summary!$Q$2),Summary!$R$2,C330))</f>
        <v>Neesha</v>
      </c>
      <c r="D331" t="str">
        <f>IF(C331=Summary!$P$26,VLOOKUP(Summary!M338,Summary!$Q$26:$R$27,2),IF('Run Data'!C331=Summary!$P$28,VLOOKUP(Summary!M338,Summary!$Q$28:$R$29,2),VLOOKUP(Summary!M338,Summary!$Q$30:$R$32,2)))</f>
        <v>Sprig 1</v>
      </c>
      <c r="E331" t="str">
        <f>VLOOKUP(Summary!M341,Summary!$P$42:$Q$43,2)</f>
        <v>86</v>
      </c>
      <c r="F331">
        <f>IF(LEFT(A331,3)="B60",20,IF(LEFT(A331,3)="B12",30,25))+B331*0.5+INT(Summary!M344*20)</f>
        <v>173</v>
      </c>
      <c r="G331">
        <f>ROUND(IF(OR(ISERROR(FIND(Summary!$P$89,CONCATENATE(C331,D331,E331))),ISERROR(FIND(Summary!$Q$89,A331))),Summary!$R$45,IF(H331&gt;Summary!$V$3,Summary!$R$46,Summary!$R$45))*(B331+30),0)</f>
        <v>3</v>
      </c>
      <c r="H331">
        <f>IF(H330&gt;Summary!$V$4,0,H330+F330)</f>
        <v>124891</v>
      </c>
      <c r="I331" s="26">
        <f>DATE(YEAR(Summary!$V$2),MONTH(Summary!$V$2),DAY(Summary!$V$2)+INT(H331/480))</f>
        <v>43850</v>
      </c>
      <c r="J331" s="27">
        <f t="shared" si="5"/>
        <v>0.39652777777777781</v>
      </c>
    </row>
    <row r="332" spans="1:10">
      <c r="A332" t="str">
        <f>VLOOKUP(Summary!M331,Summary!$P$13:$Q$24,2)</f>
        <v>B600-sky</v>
      </c>
      <c r="B332">
        <f>ROUND(NORMINV(Summary!M333,VLOOKUP(A332,Summary!$Q$13:$S$24,3,FALSE),VLOOKUP(A332,Summary!$Q$13:$S$24,3,FALSE)/6),-1)</f>
        <v>490</v>
      </c>
      <c r="C332" t="str">
        <f>IF(AND(H332=0,C331=Summary!$P$2),Summary!$Q$2,IF(AND(H332=0,C331=Summary!$Q$2),Summary!$R$2,C331))</f>
        <v>Neesha</v>
      </c>
      <c r="D332" t="str">
        <f>IF(C332=Summary!$P$26,VLOOKUP(Summary!M339,Summary!$Q$26:$R$27,2),IF('Run Data'!C332=Summary!$P$28,VLOOKUP(Summary!M339,Summary!$Q$28:$R$29,2),VLOOKUP(Summary!M339,Summary!$Q$30:$R$32,2)))</f>
        <v>Sprig 1</v>
      </c>
      <c r="E332" t="str">
        <f>VLOOKUP(Summary!M342,Summary!$P$42:$Q$43,2)</f>
        <v>87b</v>
      </c>
      <c r="F332">
        <f>IF(LEFT(A332,3)="B60",20,IF(LEFT(A332,3)="B12",30,25))+B332*0.5+INT(Summary!M345*20)</f>
        <v>279</v>
      </c>
      <c r="G332">
        <f>ROUND(IF(OR(ISERROR(FIND(Summary!$P$89,CONCATENATE(C332,D332,E332))),ISERROR(FIND(Summary!$Q$89,A332))),Summary!$R$45,IF(H332&gt;Summary!$V$3,Summary!$R$46,Summary!$R$45))*(B332+30),0)</f>
        <v>5</v>
      </c>
      <c r="H332">
        <f>IF(H331&gt;Summary!$V$4,0,H331+F331)</f>
        <v>125064</v>
      </c>
      <c r="I332" s="26">
        <f>DATE(YEAR(Summary!$V$2),MONTH(Summary!$V$2),DAY(Summary!$V$2)+INT(H332/480))</f>
        <v>43850</v>
      </c>
      <c r="J332" s="27">
        <f t="shared" si="5"/>
        <v>0.51666666666666672</v>
      </c>
    </row>
    <row r="333" spans="1:10">
      <c r="A333" t="str">
        <f>VLOOKUP(Summary!M332,Summary!$P$13:$Q$24,2)</f>
        <v>B1200-fire</v>
      </c>
      <c r="B333">
        <f>ROUND(NORMINV(Summary!M334,VLOOKUP(A333,Summary!$Q$13:$S$24,3,FALSE),VLOOKUP(A333,Summary!$Q$13:$S$24,3,FALSE)/6),-1)</f>
        <v>1080</v>
      </c>
      <c r="C333" t="str">
        <f>IF(AND(H333=0,C332=Summary!$P$2),Summary!$Q$2,IF(AND(H333=0,C332=Summary!$Q$2),Summary!$R$2,C332))</f>
        <v>Neesha</v>
      </c>
      <c r="D333" t="str">
        <f>IF(C333=Summary!$P$26,VLOOKUP(Summary!M340,Summary!$Q$26:$R$27,2),IF('Run Data'!C333=Summary!$P$28,VLOOKUP(Summary!M340,Summary!$Q$28:$R$29,2),VLOOKUP(Summary!M340,Summary!$Q$30:$R$32,2)))</f>
        <v>Sprig 1</v>
      </c>
      <c r="E333" t="str">
        <f>VLOOKUP(Summary!M343,Summary!$P$42:$Q$43,2)</f>
        <v>86</v>
      </c>
      <c r="F333">
        <f>IF(LEFT(A333,3)="B60",20,IF(LEFT(A333,3)="B12",30,25))+B333*0.5+INT(Summary!M346*20)</f>
        <v>575</v>
      </c>
      <c r="G333">
        <f>ROUND(IF(OR(ISERROR(FIND(Summary!$P$89,CONCATENATE(C333,D333,E333))),ISERROR(FIND(Summary!$Q$89,A333))),Summary!$R$45,IF(H333&gt;Summary!$V$3,Summary!$R$46,Summary!$R$45))*(B333+30),0)</f>
        <v>11</v>
      </c>
      <c r="H333">
        <f>IF(H332&gt;Summary!$V$4,0,H332+F332)</f>
        <v>125343</v>
      </c>
      <c r="I333" s="26">
        <f>DATE(YEAR(Summary!$V$2),MONTH(Summary!$V$2),DAY(Summary!$V$2)+INT(H333/480))</f>
        <v>43851</v>
      </c>
      <c r="J333" s="27">
        <f t="shared" si="5"/>
        <v>0.37708333333333338</v>
      </c>
    </row>
    <row r="334" spans="1:10">
      <c r="A334" t="str">
        <f>VLOOKUP(Summary!M333,Summary!$P$13:$Q$24,2)</f>
        <v>B1200-sky</v>
      </c>
      <c r="B334">
        <f>ROUND(NORMINV(Summary!M335,VLOOKUP(A334,Summary!$Q$13:$S$24,3,FALSE),VLOOKUP(A334,Summary!$Q$13:$S$24,3,FALSE)/6),-1)</f>
        <v>970</v>
      </c>
      <c r="C334" t="str">
        <f>IF(AND(H334=0,C333=Summary!$P$2),Summary!$Q$2,IF(AND(H334=0,C333=Summary!$Q$2),Summary!$R$2,C333))</f>
        <v>Neesha</v>
      </c>
      <c r="D334" t="str">
        <f>IF(C334=Summary!$P$26,VLOOKUP(Summary!M341,Summary!$Q$26:$R$27,2),IF('Run Data'!C334=Summary!$P$28,VLOOKUP(Summary!M341,Summary!$Q$28:$R$29,2),VLOOKUP(Summary!M341,Summary!$Q$30:$R$32,2)))</f>
        <v>Sprig 1</v>
      </c>
      <c r="E334" t="str">
        <f>VLOOKUP(Summary!M344,Summary!$P$42:$Q$43,2)</f>
        <v>86</v>
      </c>
      <c r="F334">
        <f>IF(LEFT(A334,3)="B60",20,IF(LEFT(A334,3)="B12",30,25))+B334*0.5+INT(Summary!M347*20)</f>
        <v>520</v>
      </c>
      <c r="G334">
        <f>ROUND(IF(OR(ISERROR(FIND(Summary!$P$89,CONCATENATE(C334,D334,E334))),ISERROR(FIND(Summary!$Q$89,A334))),Summary!$R$45,IF(H334&gt;Summary!$V$3,Summary!$R$46,Summary!$R$45))*(B334+30),0)</f>
        <v>10</v>
      </c>
      <c r="H334">
        <f>IF(H333&gt;Summary!$V$4,0,H333+F333)</f>
        <v>125918</v>
      </c>
      <c r="I334" s="26">
        <f>DATE(YEAR(Summary!$V$2),MONTH(Summary!$V$2),DAY(Summary!$V$2)+INT(H334/480))</f>
        <v>43852</v>
      </c>
      <c r="J334" s="27">
        <f t="shared" si="5"/>
        <v>0.44305555555555554</v>
      </c>
    </row>
    <row r="335" spans="1:10">
      <c r="A335" t="str">
        <f>VLOOKUP(Summary!M334,Summary!$P$13:$Q$24,2)</f>
        <v>B1200-plum</v>
      </c>
      <c r="B335">
        <f>ROUND(NORMINV(Summary!M336,VLOOKUP(A335,Summary!$Q$13:$S$24,3,FALSE),VLOOKUP(A335,Summary!$Q$13:$S$24,3,FALSE)/6),-1)</f>
        <v>430</v>
      </c>
      <c r="C335" t="str">
        <f>IF(AND(H335=0,C334=Summary!$P$2),Summary!$Q$2,IF(AND(H335=0,C334=Summary!$Q$2),Summary!$R$2,C334))</f>
        <v>Neesha</v>
      </c>
      <c r="D335" t="str">
        <f>IF(C335=Summary!$P$26,VLOOKUP(Summary!M342,Summary!$Q$26:$R$27,2),IF('Run Data'!C335=Summary!$P$28,VLOOKUP(Summary!M342,Summary!$Q$28:$R$29,2),VLOOKUP(Summary!M342,Summary!$Q$30:$R$32,2)))</f>
        <v>Sprig 4</v>
      </c>
      <c r="E335" t="str">
        <f>VLOOKUP(Summary!M345,Summary!$P$42:$Q$43,2)</f>
        <v>86</v>
      </c>
      <c r="F335">
        <f>IF(LEFT(A335,3)="B60",20,IF(LEFT(A335,3)="B12",30,25))+B335*0.5+INT(Summary!M348*20)</f>
        <v>245</v>
      </c>
      <c r="G335">
        <f>ROUND(IF(OR(ISERROR(FIND(Summary!$P$89,CONCATENATE(C335,D335,E335))),ISERROR(FIND(Summary!$Q$89,A335))),Summary!$R$45,IF(H335&gt;Summary!$V$3,Summary!$R$46,Summary!$R$45))*(B335+30),0)</f>
        <v>5</v>
      </c>
      <c r="H335">
        <f>IF(H334&gt;Summary!$V$4,0,H334+F334)</f>
        <v>126438</v>
      </c>
      <c r="I335" s="26">
        <f>DATE(YEAR(Summary!$V$2),MONTH(Summary!$V$2),DAY(Summary!$V$2)+INT(H335/480))</f>
        <v>43853</v>
      </c>
      <c r="J335" s="27">
        <f t="shared" si="5"/>
        <v>0.47083333333333338</v>
      </c>
    </row>
    <row r="336" spans="1:10">
      <c r="A336" t="str">
        <f>VLOOKUP(Summary!M335,Summary!$P$13:$Q$24,2)</f>
        <v>B600-fire</v>
      </c>
      <c r="B336">
        <f>ROUND(NORMINV(Summary!M337,VLOOKUP(A336,Summary!$Q$13:$S$24,3,FALSE),VLOOKUP(A336,Summary!$Q$13:$S$24,3,FALSE)/6),-1)</f>
        <v>480</v>
      </c>
      <c r="C336" t="str">
        <f>IF(AND(H336=0,C335=Summary!$P$2),Summary!$Q$2,IF(AND(H336=0,C335=Summary!$Q$2),Summary!$R$2,C335))</f>
        <v>Neesha</v>
      </c>
      <c r="D336" t="str">
        <f>IF(C336=Summary!$P$26,VLOOKUP(Summary!M343,Summary!$Q$26:$R$27,2),IF('Run Data'!C336=Summary!$P$28,VLOOKUP(Summary!M343,Summary!$Q$28:$R$29,2),VLOOKUP(Summary!M343,Summary!$Q$30:$R$32,2)))</f>
        <v>Sprig 1</v>
      </c>
      <c r="E336" t="str">
        <f>VLOOKUP(Summary!M346,Summary!$P$42:$Q$43,2)</f>
        <v>86</v>
      </c>
      <c r="F336">
        <f>IF(LEFT(A336,3)="B60",20,IF(LEFT(A336,3)="B12",30,25))+B336*0.5+INT(Summary!M349*20)</f>
        <v>263</v>
      </c>
      <c r="G336">
        <f>ROUND(IF(OR(ISERROR(FIND(Summary!$P$89,CONCATENATE(C336,D336,E336))),ISERROR(FIND(Summary!$Q$89,A336))),Summary!$R$45,IF(H336&gt;Summary!$V$3,Summary!$R$46,Summary!$R$45))*(B336+30),0)</f>
        <v>5</v>
      </c>
      <c r="H336">
        <f>IF(H335&gt;Summary!$V$4,0,H335+F335)</f>
        <v>126683</v>
      </c>
      <c r="I336" s="26">
        <f>DATE(YEAR(Summary!$V$2),MONTH(Summary!$V$2),DAY(Summary!$V$2)+INT(H336/480))</f>
        <v>43853</v>
      </c>
      <c r="J336" s="27">
        <f t="shared" si="5"/>
        <v>0.64097222222222217</v>
      </c>
    </row>
    <row r="337" spans="1:10">
      <c r="A337" t="str">
        <f>VLOOKUP(Summary!M336,Summary!$P$13:$Q$24,2)</f>
        <v>B1200-sky</v>
      </c>
      <c r="B337">
        <f>ROUND(NORMINV(Summary!M338,VLOOKUP(A337,Summary!$Q$13:$S$24,3,FALSE),VLOOKUP(A337,Summary!$Q$13:$S$24,3,FALSE)/6),-1)</f>
        <v>1270</v>
      </c>
      <c r="C337" t="str">
        <f>IF(AND(H337=0,C336=Summary!$P$2),Summary!$Q$2,IF(AND(H337=0,C336=Summary!$Q$2),Summary!$R$2,C336))</f>
        <v>Neesha</v>
      </c>
      <c r="D337" t="str">
        <f>IF(C337=Summary!$P$26,VLOOKUP(Summary!M344,Summary!$Q$26:$R$27,2),IF('Run Data'!C337=Summary!$P$28,VLOOKUP(Summary!M344,Summary!$Q$28:$R$29,2),VLOOKUP(Summary!M344,Summary!$Q$30:$R$32,2)))</f>
        <v>Sprig 1</v>
      </c>
      <c r="E337" t="str">
        <f>VLOOKUP(Summary!M347,Summary!$P$42:$Q$43,2)</f>
        <v>86</v>
      </c>
      <c r="F337">
        <f>IF(LEFT(A337,3)="B60",20,IF(LEFT(A337,3)="B12",30,25))+B337*0.5+INT(Summary!M350*20)</f>
        <v>673</v>
      </c>
      <c r="G337">
        <f>ROUND(IF(OR(ISERROR(FIND(Summary!$P$89,CONCATENATE(C337,D337,E337))),ISERROR(FIND(Summary!$Q$89,A337))),Summary!$R$45,IF(H337&gt;Summary!$V$3,Summary!$R$46,Summary!$R$45))*(B337+30),0)</f>
        <v>13</v>
      </c>
      <c r="H337">
        <f>IF(H336&gt;Summary!$V$4,0,H336+F336)</f>
        <v>126946</v>
      </c>
      <c r="I337" s="26">
        <f>DATE(YEAR(Summary!$V$2),MONTH(Summary!$V$2),DAY(Summary!$V$2)+INT(H337/480))</f>
        <v>43854</v>
      </c>
      <c r="J337" s="27">
        <f t="shared" ref="J337:J400" si="6">TIME(INT(MOD(H337,480)/60)+8,MOD(MOD(H337,480),60),0)</f>
        <v>0.49027777777777781</v>
      </c>
    </row>
    <row r="338" spans="1:10">
      <c r="A338" t="str">
        <f>VLOOKUP(Summary!M337,Summary!$P$13:$Q$24,2)</f>
        <v>B1700-fire</v>
      </c>
      <c r="B338">
        <f>ROUND(NORMINV(Summary!M339,VLOOKUP(A338,Summary!$Q$13:$S$24,3,FALSE),VLOOKUP(A338,Summary!$Q$13:$S$24,3,FALSE)/6),-1)</f>
        <v>680</v>
      </c>
      <c r="C338" t="str">
        <f>IF(AND(H338=0,C337=Summary!$P$2),Summary!$Q$2,IF(AND(H338=0,C337=Summary!$Q$2),Summary!$R$2,C337))</f>
        <v>Neesha</v>
      </c>
      <c r="D338" t="str">
        <f>IF(C338=Summary!$P$26,VLOOKUP(Summary!M345,Summary!$Q$26:$R$27,2),IF('Run Data'!C338=Summary!$P$28,VLOOKUP(Summary!M345,Summary!$Q$28:$R$29,2),VLOOKUP(Summary!M345,Summary!$Q$30:$R$32,2)))</f>
        <v>Sprig 1</v>
      </c>
      <c r="E338" t="str">
        <f>VLOOKUP(Summary!M348,Summary!$P$42:$Q$43,2)</f>
        <v>86</v>
      </c>
      <c r="F338">
        <f>IF(LEFT(A338,3)="B60",20,IF(LEFT(A338,3)="B12",30,25))+B338*0.5+INT(Summary!M351*20)</f>
        <v>379</v>
      </c>
      <c r="G338">
        <f>ROUND(IF(OR(ISERROR(FIND(Summary!$P$89,CONCATENATE(C338,D338,E338))),ISERROR(FIND(Summary!$Q$89,A338))),Summary!$R$45,IF(H338&gt;Summary!$V$3,Summary!$R$46,Summary!$R$45))*(B338+30),0)</f>
        <v>85</v>
      </c>
      <c r="H338">
        <f>IF(H337&gt;Summary!$V$4,0,H337+F337)</f>
        <v>127619</v>
      </c>
      <c r="I338" s="26">
        <f>DATE(YEAR(Summary!$V$2),MONTH(Summary!$V$2),DAY(Summary!$V$2)+INT(H338/480))</f>
        <v>43855</v>
      </c>
      <c r="J338" s="27">
        <f t="shared" si="6"/>
        <v>0.62430555555555556</v>
      </c>
    </row>
    <row r="339" spans="1:10">
      <c r="A339" t="str">
        <f>VLOOKUP(Summary!M338,Summary!$P$13:$Q$24,2)</f>
        <v>B1200-lime</v>
      </c>
      <c r="B339">
        <f>ROUND(NORMINV(Summary!M340,VLOOKUP(A339,Summary!$Q$13:$S$24,3,FALSE),VLOOKUP(A339,Summary!$Q$13:$S$24,3,FALSE)/6),-1)</f>
        <v>770</v>
      </c>
      <c r="C339" t="str">
        <f>IF(AND(H339=0,C338=Summary!$P$2),Summary!$Q$2,IF(AND(H339=0,C338=Summary!$Q$2),Summary!$R$2,C338))</f>
        <v>Neesha</v>
      </c>
      <c r="D339" t="str">
        <f>IF(C339=Summary!$P$26,VLOOKUP(Summary!M346,Summary!$Q$26:$R$27,2),IF('Run Data'!C339=Summary!$P$28,VLOOKUP(Summary!M346,Summary!$Q$28:$R$29,2),VLOOKUP(Summary!M346,Summary!$Q$30:$R$32,2)))</f>
        <v>Sprig 1</v>
      </c>
      <c r="E339" t="str">
        <f>VLOOKUP(Summary!M349,Summary!$P$42:$Q$43,2)</f>
        <v>86</v>
      </c>
      <c r="F339">
        <f>IF(LEFT(A339,3)="B60",20,IF(LEFT(A339,3)="B12",30,25))+B339*0.5+INT(Summary!M352*20)</f>
        <v>428</v>
      </c>
      <c r="G339">
        <f>ROUND(IF(OR(ISERROR(FIND(Summary!$P$89,CONCATENATE(C339,D339,E339))),ISERROR(FIND(Summary!$Q$89,A339))),Summary!$R$45,IF(H339&gt;Summary!$V$3,Summary!$R$46,Summary!$R$45))*(B339+30),0)</f>
        <v>8</v>
      </c>
      <c r="H339">
        <f>IF(H338&gt;Summary!$V$4,0,H338+F338)</f>
        <v>127998</v>
      </c>
      <c r="I339" s="26">
        <f>DATE(YEAR(Summary!$V$2),MONTH(Summary!$V$2),DAY(Summary!$V$2)+INT(H339/480))</f>
        <v>43856</v>
      </c>
      <c r="J339" s="27">
        <f t="shared" si="6"/>
        <v>0.5541666666666667</v>
      </c>
    </row>
    <row r="340" spans="1:10">
      <c r="A340" t="str">
        <f>VLOOKUP(Summary!M339,Summary!$P$13:$Q$24,2)</f>
        <v>B1200-plum</v>
      </c>
      <c r="B340">
        <f>ROUND(NORMINV(Summary!M341,VLOOKUP(A340,Summary!$Q$13:$S$24,3,FALSE),VLOOKUP(A340,Summary!$Q$13:$S$24,3,FALSE)/6),-1)</f>
        <v>500</v>
      </c>
      <c r="C340" t="str">
        <f>IF(AND(H340=0,C339=Summary!$P$2),Summary!$Q$2,IF(AND(H340=0,C339=Summary!$Q$2),Summary!$R$2,C339))</f>
        <v>Neesha</v>
      </c>
      <c r="D340" t="str">
        <f>IF(C340=Summary!$P$26,VLOOKUP(Summary!M347,Summary!$Q$26:$R$27,2),IF('Run Data'!C340=Summary!$P$28,VLOOKUP(Summary!M347,Summary!$Q$28:$R$29,2),VLOOKUP(Summary!M347,Summary!$Q$30:$R$32,2)))</f>
        <v>Sprig 1</v>
      </c>
      <c r="E340" t="str">
        <f>VLOOKUP(Summary!M350,Summary!$P$42:$Q$43,2)</f>
        <v>86</v>
      </c>
      <c r="F340">
        <f>IF(LEFT(A340,3)="B60",20,IF(LEFT(A340,3)="B12",30,25))+B340*0.5+INT(Summary!M353*20)</f>
        <v>281</v>
      </c>
      <c r="G340">
        <f>ROUND(IF(OR(ISERROR(FIND(Summary!$P$89,CONCATENATE(C340,D340,E340))),ISERROR(FIND(Summary!$Q$89,A340))),Summary!$R$45,IF(H340&gt;Summary!$V$3,Summary!$R$46,Summary!$R$45))*(B340+30),0)</f>
        <v>5</v>
      </c>
      <c r="H340">
        <f>IF(H339&gt;Summary!$V$4,0,H339+F339)</f>
        <v>128426</v>
      </c>
      <c r="I340" s="26">
        <f>DATE(YEAR(Summary!$V$2),MONTH(Summary!$V$2),DAY(Summary!$V$2)+INT(H340/480))</f>
        <v>43857</v>
      </c>
      <c r="J340" s="27">
        <f t="shared" si="6"/>
        <v>0.5180555555555556</v>
      </c>
    </row>
    <row r="341" spans="1:10">
      <c r="A341" t="str">
        <f>VLOOKUP(Summary!M340,Summary!$P$13:$Q$24,2)</f>
        <v>B1200-sky</v>
      </c>
      <c r="B341">
        <f>ROUND(NORMINV(Summary!M342,VLOOKUP(A341,Summary!$Q$13:$S$24,3,FALSE),VLOOKUP(A341,Summary!$Q$13:$S$24,3,FALSE)/6),-1)</f>
        <v>1590</v>
      </c>
      <c r="C341" t="str">
        <f>IF(AND(H341=0,C340=Summary!$P$2),Summary!$Q$2,IF(AND(H341=0,C340=Summary!$Q$2),Summary!$R$2,C340))</f>
        <v>Neesha</v>
      </c>
      <c r="D341" t="str">
        <f>IF(C341=Summary!$P$26,VLOOKUP(Summary!M348,Summary!$Q$26:$R$27,2),IF('Run Data'!C341=Summary!$P$28,VLOOKUP(Summary!M348,Summary!$Q$28:$R$29,2),VLOOKUP(Summary!M348,Summary!$Q$30:$R$32,2)))</f>
        <v>Sprig 1</v>
      </c>
      <c r="E341" t="str">
        <f>VLOOKUP(Summary!M351,Summary!$P$42:$Q$43,2)</f>
        <v>86</v>
      </c>
      <c r="F341">
        <f>IF(LEFT(A341,3)="B60",20,IF(LEFT(A341,3)="B12",30,25))+B341*0.5+INT(Summary!M354*20)</f>
        <v>841</v>
      </c>
      <c r="G341">
        <f>ROUND(IF(OR(ISERROR(FIND(Summary!$P$89,CONCATENATE(C341,D341,E341))),ISERROR(FIND(Summary!$Q$89,A341))),Summary!$R$45,IF(H341&gt;Summary!$V$3,Summary!$R$46,Summary!$R$45))*(B341+30),0)</f>
        <v>16</v>
      </c>
      <c r="H341">
        <f>IF(H340&gt;Summary!$V$4,0,H340+F340)</f>
        <v>128707</v>
      </c>
      <c r="I341" s="26">
        <f>DATE(YEAR(Summary!$V$2),MONTH(Summary!$V$2),DAY(Summary!$V$2)+INT(H341/480))</f>
        <v>43858</v>
      </c>
      <c r="J341" s="27">
        <f t="shared" si="6"/>
        <v>0.37986111111111115</v>
      </c>
    </row>
    <row r="342" spans="1:10">
      <c r="A342" t="str">
        <f>VLOOKUP(Summary!M341,Summary!$P$13:$Q$24,2)</f>
        <v>B1700-plum</v>
      </c>
      <c r="B342">
        <f>ROUND(NORMINV(Summary!M343,VLOOKUP(A342,Summary!$Q$13:$S$24,3,FALSE),VLOOKUP(A342,Summary!$Q$13:$S$24,3,FALSE)/6),-1)</f>
        <v>240</v>
      </c>
      <c r="C342" t="str">
        <f>IF(AND(H342=0,C341=Summary!$P$2),Summary!$Q$2,IF(AND(H342=0,C341=Summary!$Q$2),Summary!$R$2,C341))</f>
        <v>Neesha</v>
      </c>
      <c r="D342" t="str">
        <f>IF(C342=Summary!$P$26,VLOOKUP(Summary!M349,Summary!$Q$26:$R$27,2),IF('Run Data'!C342=Summary!$P$28,VLOOKUP(Summary!M349,Summary!$Q$28:$R$29,2),VLOOKUP(Summary!M349,Summary!$Q$30:$R$32,2)))</f>
        <v>Sprig 1</v>
      </c>
      <c r="E342" t="str">
        <f>VLOOKUP(Summary!M352,Summary!$P$42:$Q$43,2)</f>
        <v>86</v>
      </c>
      <c r="F342">
        <f>IF(LEFT(A342,3)="B60",20,IF(LEFT(A342,3)="B12",30,25))+B342*0.5+INT(Summary!M355*20)</f>
        <v>146</v>
      </c>
      <c r="G342">
        <f>ROUND(IF(OR(ISERROR(FIND(Summary!$P$89,CONCATENATE(C342,D342,E342))),ISERROR(FIND(Summary!$Q$89,A342))),Summary!$R$45,IF(H342&gt;Summary!$V$3,Summary!$R$46,Summary!$R$45))*(B342+30),0)</f>
        <v>32</v>
      </c>
      <c r="H342">
        <f>IF(H341&gt;Summary!$V$4,0,H341+F341)</f>
        <v>129548</v>
      </c>
      <c r="I342" s="26">
        <f>DATE(YEAR(Summary!$V$2),MONTH(Summary!$V$2),DAY(Summary!$V$2)+INT(H342/480))</f>
        <v>43859</v>
      </c>
      <c r="J342" s="27">
        <f t="shared" si="6"/>
        <v>0.63055555555555554</v>
      </c>
    </row>
    <row r="343" spans="1:10">
      <c r="A343" t="str">
        <f>VLOOKUP(Summary!M342,Summary!$P$13:$Q$24,2)</f>
        <v>B1700-lime</v>
      </c>
      <c r="B343">
        <f>ROUND(NORMINV(Summary!M344,VLOOKUP(A343,Summary!$Q$13:$S$24,3,FALSE),VLOOKUP(A343,Summary!$Q$13:$S$24,3,FALSE)/6),-1)</f>
        <v>340</v>
      </c>
      <c r="C343" t="str">
        <f>IF(AND(H343=0,C342=Summary!$P$2),Summary!$Q$2,IF(AND(H343=0,C342=Summary!$Q$2),Summary!$R$2,C342))</f>
        <v>Neesha</v>
      </c>
      <c r="D343" t="str">
        <f>IF(C343=Summary!$P$26,VLOOKUP(Summary!M350,Summary!$Q$26:$R$27,2),IF('Run Data'!C343=Summary!$P$28,VLOOKUP(Summary!M350,Summary!$Q$28:$R$29,2),VLOOKUP(Summary!M350,Summary!$Q$30:$R$32,2)))</f>
        <v>Sprig 1</v>
      </c>
      <c r="E343" t="str">
        <f>VLOOKUP(Summary!M353,Summary!$P$42:$Q$43,2)</f>
        <v>86</v>
      </c>
      <c r="F343">
        <f>IF(LEFT(A343,3)="B60",20,IF(LEFT(A343,3)="B12",30,25))+B343*0.5+INT(Summary!M356*20)</f>
        <v>197</v>
      </c>
      <c r="G343">
        <f>ROUND(IF(OR(ISERROR(FIND(Summary!$P$89,CONCATENATE(C343,D343,E343))),ISERROR(FIND(Summary!$Q$89,A343))),Summary!$R$45,IF(H343&gt;Summary!$V$3,Summary!$R$46,Summary!$R$45))*(B343+30),0)</f>
        <v>44</v>
      </c>
      <c r="H343">
        <f>IF(H342&gt;Summary!$V$4,0,H342+F342)</f>
        <v>129694</v>
      </c>
      <c r="I343" s="26">
        <f>DATE(YEAR(Summary!$V$2),MONTH(Summary!$V$2),DAY(Summary!$V$2)+INT(H343/480))</f>
        <v>43860</v>
      </c>
      <c r="J343" s="27">
        <f t="shared" si="6"/>
        <v>0.39861111111111108</v>
      </c>
    </row>
    <row r="344" spans="1:10">
      <c r="A344" t="str">
        <f>VLOOKUP(Summary!M343,Summary!$P$13:$Q$24,2)</f>
        <v>B600-fire</v>
      </c>
      <c r="B344">
        <f>ROUND(NORMINV(Summary!M345,VLOOKUP(A344,Summary!$Q$13:$S$24,3,FALSE),VLOOKUP(A344,Summary!$Q$13:$S$24,3,FALSE)/6),-1)</f>
        <v>440</v>
      </c>
      <c r="C344" t="str">
        <f>IF(AND(H344=0,C343=Summary!$P$2),Summary!$Q$2,IF(AND(H344=0,C343=Summary!$Q$2),Summary!$R$2,C343))</f>
        <v>Neesha</v>
      </c>
      <c r="D344" t="str">
        <f>IF(C344=Summary!$P$26,VLOOKUP(Summary!M351,Summary!$Q$26:$R$27,2),IF('Run Data'!C344=Summary!$P$28,VLOOKUP(Summary!M351,Summary!$Q$28:$R$29,2),VLOOKUP(Summary!M351,Summary!$Q$30:$R$32,2)))</f>
        <v>Sprig 1</v>
      </c>
      <c r="E344" t="str">
        <f>VLOOKUP(Summary!M354,Summary!$P$42:$Q$43,2)</f>
        <v>86</v>
      </c>
      <c r="F344">
        <f>IF(LEFT(A344,3)="B60",20,IF(LEFT(A344,3)="B12",30,25))+B344*0.5+INT(Summary!M357*20)</f>
        <v>248</v>
      </c>
      <c r="G344">
        <f>ROUND(IF(OR(ISERROR(FIND(Summary!$P$89,CONCATENATE(C344,D344,E344))),ISERROR(FIND(Summary!$Q$89,A344))),Summary!$R$45,IF(H344&gt;Summary!$V$3,Summary!$R$46,Summary!$R$45))*(B344+30),0)</f>
        <v>5</v>
      </c>
      <c r="H344">
        <f>IF(H343&gt;Summary!$V$4,0,H343+F343)</f>
        <v>129891</v>
      </c>
      <c r="I344" s="26">
        <f>DATE(YEAR(Summary!$V$2),MONTH(Summary!$V$2),DAY(Summary!$V$2)+INT(H344/480))</f>
        <v>43860</v>
      </c>
      <c r="J344" s="27">
        <f t="shared" si="6"/>
        <v>0.53541666666666665</v>
      </c>
    </row>
    <row r="345" spans="1:10">
      <c r="A345" t="str">
        <f>VLOOKUP(Summary!M344,Summary!$P$13:$Q$24,2)</f>
        <v>B600-lime</v>
      </c>
      <c r="B345">
        <f>ROUND(NORMINV(Summary!M346,VLOOKUP(A345,Summary!$Q$13:$S$24,3,FALSE),VLOOKUP(A345,Summary!$Q$13:$S$24,3,FALSE)/6),-1)</f>
        <v>270</v>
      </c>
      <c r="C345" t="str">
        <f>IF(AND(H345=0,C344=Summary!$P$2),Summary!$Q$2,IF(AND(H345=0,C344=Summary!$Q$2),Summary!$R$2,C344))</f>
        <v>Neesha</v>
      </c>
      <c r="D345" t="str">
        <f>IF(C345=Summary!$P$26,VLOOKUP(Summary!M352,Summary!$Q$26:$R$27,2),IF('Run Data'!C345=Summary!$P$28,VLOOKUP(Summary!M352,Summary!$Q$28:$R$29,2),VLOOKUP(Summary!M352,Summary!$Q$30:$R$32,2)))</f>
        <v>Sprig 1</v>
      </c>
      <c r="E345" t="str">
        <f>VLOOKUP(Summary!M355,Summary!$P$42:$Q$43,2)</f>
        <v>86</v>
      </c>
      <c r="F345">
        <f>IF(LEFT(A345,3)="B60",20,IF(LEFT(A345,3)="B12",30,25))+B345*0.5+INT(Summary!M358*20)</f>
        <v>159</v>
      </c>
      <c r="G345">
        <f>ROUND(IF(OR(ISERROR(FIND(Summary!$P$89,CONCATENATE(C345,D345,E345))),ISERROR(FIND(Summary!$Q$89,A345))),Summary!$R$45,IF(H345&gt;Summary!$V$3,Summary!$R$46,Summary!$R$45))*(B345+30),0)</f>
        <v>3</v>
      </c>
      <c r="H345">
        <f>IF(H344&gt;Summary!$V$4,0,H344+F344)</f>
        <v>130139</v>
      </c>
      <c r="I345" s="26">
        <f>DATE(YEAR(Summary!$V$2),MONTH(Summary!$V$2),DAY(Summary!$V$2)+INT(H345/480))</f>
        <v>43861</v>
      </c>
      <c r="J345" s="27">
        <f t="shared" si="6"/>
        <v>0.3743055555555555</v>
      </c>
    </row>
    <row r="346" spans="1:10">
      <c r="A346" t="str">
        <f>VLOOKUP(Summary!M345,Summary!$P$13:$Q$24,2)</f>
        <v>B1700-plum</v>
      </c>
      <c r="B346">
        <f>ROUND(NORMINV(Summary!M347,VLOOKUP(A346,Summary!$Q$13:$S$24,3,FALSE),VLOOKUP(A346,Summary!$Q$13:$S$24,3,FALSE)/6),-1)</f>
        <v>270</v>
      </c>
      <c r="C346" t="str">
        <f>IF(AND(H346=0,C345=Summary!$P$2),Summary!$Q$2,IF(AND(H346=0,C345=Summary!$Q$2),Summary!$R$2,C345))</f>
        <v>Neesha</v>
      </c>
      <c r="D346" t="str">
        <f>IF(C346=Summary!$P$26,VLOOKUP(Summary!M353,Summary!$Q$26:$R$27,2),IF('Run Data'!C346=Summary!$P$28,VLOOKUP(Summary!M353,Summary!$Q$28:$R$29,2),VLOOKUP(Summary!M353,Summary!$Q$30:$R$32,2)))</f>
        <v>Sprig 1</v>
      </c>
      <c r="E346" t="str">
        <f>VLOOKUP(Summary!M356,Summary!$P$42:$Q$43,2)</f>
        <v>86</v>
      </c>
      <c r="F346">
        <f>IF(LEFT(A346,3)="B60",20,IF(LEFT(A346,3)="B12",30,25))+B346*0.5+INT(Summary!M359*20)</f>
        <v>170</v>
      </c>
      <c r="G346">
        <f>ROUND(IF(OR(ISERROR(FIND(Summary!$P$89,CONCATENATE(C346,D346,E346))),ISERROR(FIND(Summary!$Q$89,A346))),Summary!$R$45,IF(H346&gt;Summary!$V$3,Summary!$R$46,Summary!$R$45))*(B346+30),0)</f>
        <v>36</v>
      </c>
      <c r="H346">
        <f>IF(H345&gt;Summary!$V$4,0,H345+F345)</f>
        <v>130298</v>
      </c>
      <c r="I346" s="26">
        <f>DATE(YEAR(Summary!$V$2),MONTH(Summary!$V$2),DAY(Summary!$V$2)+INT(H346/480))</f>
        <v>43861</v>
      </c>
      <c r="J346" s="27">
        <f t="shared" si="6"/>
        <v>0.48472222222222222</v>
      </c>
    </row>
    <row r="347" spans="1:10">
      <c r="A347" t="str">
        <f>VLOOKUP(Summary!M346,Summary!$P$13:$Q$24,2)</f>
        <v>B1200-plum</v>
      </c>
      <c r="B347">
        <f>ROUND(NORMINV(Summary!M348,VLOOKUP(A347,Summary!$Q$13:$S$24,3,FALSE),VLOOKUP(A347,Summary!$Q$13:$S$24,3,FALSE)/6),-1)</f>
        <v>320</v>
      </c>
      <c r="C347" t="str">
        <f>IF(AND(H347=0,C346=Summary!$P$2),Summary!$Q$2,IF(AND(H347=0,C346=Summary!$Q$2),Summary!$R$2,C346))</f>
        <v>Neesha</v>
      </c>
      <c r="D347" t="str">
        <f>IF(C347=Summary!$P$26,VLOOKUP(Summary!M354,Summary!$Q$26:$R$27,2),IF('Run Data'!C347=Summary!$P$28,VLOOKUP(Summary!M354,Summary!$Q$28:$R$29,2),VLOOKUP(Summary!M354,Summary!$Q$30:$R$32,2)))</f>
        <v>Sprig 4</v>
      </c>
      <c r="E347" t="str">
        <f>VLOOKUP(Summary!M357,Summary!$P$42:$Q$43,2)</f>
        <v>86</v>
      </c>
      <c r="F347">
        <f>IF(LEFT(A347,3)="B60",20,IF(LEFT(A347,3)="B12",30,25))+B347*0.5+INT(Summary!M360*20)</f>
        <v>205</v>
      </c>
      <c r="G347">
        <f>ROUND(IF(OR(ISERROR(FIND(Summary!$P$89,CONCATENATE(C347,D347,E347))),ISERROR(FIND(Summary!$Q$89,A347))),Summary!$R$45,IF(H347&gt;Summary!$V$3,Summary!$R$46,Summary!$R$45))*(B347+30),0)</f>
        <v>4</v>
      </c>
      <c r="H347">
        <f>IF(H346&gt;Summary!$V$4,0,H346+F346)</f>
        <v>130468</v>
      </c>
      <c r="I347" s="26">
        <f>DATE(YEAR(Summary!$V$2),MONTH(Summary!$V$2),DAY(Summary!$V$2)+INT(H347/480))</f>
        <v>43861</v>
      </c>
      <c r="J347" s="27">
        <f t="shared" si="6"/>
        <v>0.60277777777777775</v>
      </c>
    </row>
    <row r="348" spans="1:10">
      <c r="A348" t="str">
        <f>VLOOKUP(Summary!M347,Summary!$P$13:$Q$24,2)</f>
        <v>B1200-plum</v>
      </c>
      <c r="B348">
        <f>ROUND(NORMINV(Summary!M349,VLOOKUP(A348,Summary!$Q$13:$S$24,3,FALSE),VLOOKUP(A348,Summary!$Q$13:$S$24,3,FALSE)/6),-1)</f>
        <v>380</v>
      </c>
      <c r="C348" t="str">
        <f>IF(AND(H348=0,C347=Summary!$P$2),Summary!$Q$2,IF(AND(H348=0,C347=Summary!$Q$2),Summary!$R$2,C347))</f>
        <v>Neesha</v>
      </c>
      <c r="D348" t="str">
        <f>IF(C348=Summary!$P$26,VLOOKUP(Summary!M355,Summary!$Q$26:$R$27,2),IF('Run Data'!C348=Summary!$P$28,VLOOKUP(Summary!M355,Summary!$Q$28:$R$29,2),VLOOKUP(Summary!M355,Summary!$Q$30:$R$32,2)))</f>
        <v>Sprig 1</v>
      </c>
      <c r="E348" t="str">
        <f>VLOOKUP(Summary!M358,Summary!$P$42:$Q$43,2)</f>
        <v>86</v>
      </c>
      <c r="F348">
        <f>IF(LEFT(A348,3)="B60",20,IF(LEFT(A348,3)="B12",30,25))+B348*0.5+INT(Summary!M361*20)</f>
        <v>228</v>
      </c>
      <c r="G348">
        <f>ROUND(IF(OR(ISERROR(FIND(Summary!$P$89,CONCATENATE(C348,D348,E348))),ISERROR(FIND(Summary!$Q$89,A348))),Summary!$R$45,IF(H348&gt;Summary!$V$3,Summary!$R$46,Summary!$R$45))*(B348+30),0)</f>
        <v>4</v>
      </c>
      <c r="H348">
        <f>IF(H347&gt;Summary!$V$4,0,H347+F347)</f>
        <v>130673</v>
      </c>
      <c r="I348" s="26">
        <f>DATE(YEAR(Summary!$V$2),MONTH(Summary!$V$2),DAY(Summary!$V$2)+INT(H348/480))</f>
        <v>43862</v>
      </c>
      <c r="J348" s="27">
        <f t="shared" si="6"/>
        <v>0.41180555555555554</v>
      </c>
    </row>
    <row r="349" spans="1:10">
      <c r="A349" t="str">
        <f>VLOOKUP(Summary!M348,Summary!$P$13:$Q$24,2)</f>
        <v>B600-plum</v>
      </c>
      <c r="B349">
        <f>ROUND(NORMINV(Summary!M350,VLOOKUP(A349,Summary!$Q$13:$S$24,3,FALSE),VLOOKUP(A349,Summary!$Q$13:$S$24,3,FALSE)/6),-1)</f>
        <v>190</v>
      </c>
      <c r="C349" t="str">
        <f>IF(AND(H349=0,C348=Summary!$P$2),Summary!$Q$2,IF(AND(H349=0,C348=Summary!$Q$2),Summary!$R$2,C348))</f>
        <v>Neesha</v>
      </c>
      <c r="D349" t="str">
        <f>IF(C349=Summary!$P$26,VLOOKUP(Summary!M356,Summary!$Q$26:$R$27,2),IF('Run Data'!C349=Summary!$P$28,VLOOKUP(Summary!M356,Summary!$Q$28:$R$29,2),VLOOKUP(Summary!M356,Summary!$Q$30:$R$32,2)))</f>
        <v>Sprig 1</v>
      </c>
      <c r="E349" t="str">
        <f>VLOOKUP(Summary!M359,Summary!$P$42:$Q$43,2)</f>
        <v>86</v>
      </c>
      <c r="F349">
        <f>IF(LEFT(A349,3)="B60",20,IF(LEFT(A349,3)="B12",30,25))+B349*0.5+INT(Summary!M362*20)</f>
        <v>120</v>
      </c>
      <c r="G349">
        <f>ROUND(IF(OR(ISERROR(FIND(Summary!$P$89,CONCATENATE(C349,D349,E349))),ISERROR(FIND(Summary!$Q$89,A349))),Summary!$R$45,IF(H349&gt;Summary!$V$3,Summary!$R$46,Summary!$R$45))*(B349+30),0)</f>
        <v>2</v>
      </c>
      <c r="H349">
        <f>IF(H348&gt;Summary!$V$4,0,H348+F348)</f>
        <v>130901</v>
      </c>
      <c r="I349" s="26">
        <f>DATE(YEAR(Summary!$V$2),MONTH(Summary!$V$2),DAY(Summary!$V$2)+INT(H349/480))</f>
        <v>43862</v>
      </c>
      <c r="J349" s="27">
        <f t="shared" si="6"/>
        <v>0.57013888888888886</v>
      </c>
    </row>
    <row r="350" spans="1:10">
      <c r="A350" t="str">
        <f>VLOOKUP(Summary!M349,Summary!$P$13:$Q$24,2)</f>
        <v>B600-lime</v>
      </c>
      <c r="B350">
        <f>ROUND(NORMINV(Summary!M351,VLOOKUP(A350,Summary!$Q$13:$S$24,3,FALSE),VLOOKUP(A350,Summary!$Q$13:$S$24,3,FALSE)/6),-1)</f>
        <v>330</v>
      </c>
      <c r="C350" t="str">
        <f>IF(AND(H350=0,C349=Summary!$P$2),Summary!$Q$2,IF(AND(H350=0,C349=Summary!$Q$2),Summary!$R$2,C349))</f>
        <v>Neesha</v>
      </c>
      <c r="D350" t="str">
        <f>IF(C350=Summary!$P$26,VLOOKUP(Summary!M357,Summary!$Q$26:$R$27,2),IF('Run Data'!C350=Summary!$P$28,VLOOKUP(Summary!M357,Summary!$Q$28:$R$29,2),VLOOKUP(Summary!M357,Summary!$Q$30:$R$32,2)))</f>
        <v>Sprig 1</v>
      </c>
      <c r="E350" t="str">
        <f>VLOOKUP(Summary!M360,Summary!$P$42:$Q$43,2)</f>
        <v>86</v>
      </c>
      <c r="F350">
        <f>IF(LEFT(A350,3)="B60",20,IF(LEFT(A350,3)="B12",30,25))+B350*0.5+INT(Summary!M363*20)</f>
        <v>196</v>
      </c>
      <c r="G350">
        <f>ROUND(IF(OR(ISERROR(FIND(Summary!$P$89,CONCATENATE(C350,D350,E350))),ISERROR(FIND(Summary!$Q$89,A350))),Summary!$R$45,IF(H350&gt;Summary!$V$3,Summary!$R$46,Summary!$R$45))*(B350+30),0)</f>
        <v>4</v>
      </c>
      <c r="H350">
        <f>IF(H349&gt;Summary!$V$4,0,H349+F349)</f>
        <v>131021</v>
      </c>
      <c r="I350" s="26">
        <f>DATE(YEAR(Summary!$V$2),MONTH(Summary!$V$2),DAY(Summary!$V$2)+INT(H350/480))</f>
        <v>43862</v>
      </c>
      <c r="J350" s="27">
        <f t="shared" si="6"/>
        <v>0.65347222222222223</v>
      </c>
    </row>
    <row r="351" spans="1:10">
      <c r="A351" t="str">
        <f>VLOOKUP(Summary!M350,Summary!$P$13:$Q$24,2)</f>
        <v>B1200-sky</v>
      </c>
      <c r="B351">
        <f>ROUND(NORMINV(Summary!M352,VLOOKUP(A351,Summary!$Q$13:$S$24,3,FALSE),VLOOKUP(A351,Summary!$Q$13:$S$24,3,FALSE)/6),-1)</f>
        <v>1300</v>
      </c>
      <c r="C351" t="str">
        <f>IF(AND(H351=0,C350=Summary!$P$2),Summary!$Q$2,IF(AND(H351=0,C350=Summary!$Q$2),Summary!$R$2,C350))</f>
        <v>Neesha</v>
      </c>
      <c r="D351" t="str">
        <f>IF(C351=Summary!$P$26,VLOOKUP(Summary!M358,Summary!$Q$26:$R$27,2),IF('Run Data'!C351=Summary!$P$28,VLOOKUP(Summary!M358,Summary!$Q$28:$R$29,2),VLOOKUP(Summary!M358,Summary!$Q$30:$R$32,2)))</f>
        <v>Sprig 1</v>
      </c>
      <c r="E351" t="str">
        <f>VLOOKUP(Summary!M361,Summary!$P$42:$Q$43,2)</f>
        <v>86</v>
      </c>
      <c r="F351">
        <f>IF(LEFT(A351,3)="B60",20,IF(LEFT(A351,3)="B12",30,25))+B351*0.5+INT(Summary!M364*20)</f>
        <v>695</v>
      </c>
      <c r="G351">
        <f>ROUND(IF(OR(ISERROR(FIND(Summary!$P$89,CONCATENATE(C351,D351,E351))),ISERROR(FIND(Summary!$Q$89,A351))),Summary!$R$45,IF(H351&gt;Summary!$V$3,Summary!$R$46,Summary!$R$45))*(B351+30),0)</f>
        <v>13</v>
      </c>
      <c r="H351">
        <f>IF(H350&gt;Summary!$V$4,0,H350+F350)</f>
        <v>131217</v>
      </c>
      <c r="I351" s="26">
        <f>DATE(YEAR(Summary!$V$2),MONTH(Summary!$V$2),DAY(Summary!$V$2)+INT(H351/480))</f>
        <v>43863</v>
      </c>
      <c r="J351" s="27">
        <f t="shared" si="6"/>
        <v>0.45624999999999999</v>
      </c>
    </row>
    <row r="352" spans="1:10">
      <c r="A352" t="str">
        <f>VLOOKUP(Summary!M351,Summary!$P$13:$Q$24,2)</f>
        <v>B1700-plum</v>
      </c>
      <c r="B352">
        <f>ROUND(NORMINV(Summary!M353,VLOOKUP(A352,Summary!$Q$13:$S$24,3,FALSE),VLOOKUP(A352,Summary!$Q$13:$S$24,3,FALSE)/6),-1)</f>
        <v>230</v>
      </c>
      <c r="C352" t="str">
        <f>IF(AND(H352=0,C351=Summary!$P$2),Summary!$Q$2,IF(AND(H352=0,C351=Summary!$Q$2),Summary!$R$2,C351))</f>
        <v>Neesha</v>
      </c>
      <c r="D352" t="str">
        <f>IF(C352=Summary!$P$26,VLOOKUP(Summary!M359,Summary!$Q$26:$R$27,2),IF('Run Data'!C352=Summary!$P$28,VLOOKUP(Summary!M359,Summary!$Q$28:$R$29,2),VLOOKUP(Summary!M359,Summary!$Q$30:$R$32,2)))</f>
        <v>Sprig 1</v>
      </c>
      <c r="E352" t="str">
        <f>VLOOKUP(Summary!M362,Summary!$P$42:$Q$43,2)</f>
        <v>86</v>
      </c>
      <c r="F352">
        <f>IF(LEFT(A352,3)="B60",20,IF(LEFT(A352,3)="B12",30,25))+B352*0.5+INT(Summary!M365*20)</f>
        <v>145</v>
      </c>
      <c r="G352">
        <f>ROUND(IF(OR(ISERROR(FIND(Summary!$P$89,CONCATENATE(C352,D352,E352))),ISERROR(FIND(Summary!$Q$89,A352))),Summary!$R$45,IF(H352&gt;Summary!$V$3,Summary!$R$46,Summary!$R$45))*(B352+30),0)</f>
        <v>31</v>
      </c>
      <c r="H352">
        <f>IF(H351&gt;Summary!$V$4,0,H351+F351)</f>
        <v>131912</v>
      </c>
      <c r="I352" s="26">
        <f>DATE(YEAR(Summary!$V$2),MONTH(Summary!$V$2),DAY(Summary!$V$2)+INT(H352/480))</f>
        <v>43864</v>
      </c>
      <c r="J352" s="27">
        <f t="shared" si="6"/>
        <v>0.60555555555555551</v>
      </c>
    </row>
    <row r="353" spans="1:10">
      <c r="A353" t="str">
        <f>VLOOKUP(Summary!M352,Summary!$P$13:$Q$24,2)</f>
        <v>B1200-lime</v>
      </c>
      <c r="B353">
        <f>ROUND(NORMINV(Summary!M354,VLOOKUP(A353,Summary!$Q$13:$S$24,3,FALSE),VLOOKUP(A353,Summary!$Q$13:$S$24,3,FALSE)/6),-1)</f>
        <v>920</v>
      </c>
      <c r="C353" t="str">
        <f>IF(AND(H353=0,C352=Summary!$P$2),Summary!$Q$2,IF(AND(H353=0,C352=Summary!$Q$2),Summary!$R$2,C352))</f>
        <v>Neesha</v>
      </c>
      <c r="D353" t="str">
        <f>IF(C353=Summary!$P$26,VLOOKUP(Summary!M360,Summary!$Q$26:$R$27,2),IF('Run Data'!C353=Summary!$P$28,VLOOKUP(Summary!M360,Summary!$Q$28:$R$29,2),VLOOKUP(Summary!M360,Summary!$Q$30:$R$32,2)))</f>
        <v>Sprig 4</v>
      </c>
      <c r="E353" t="str">
        <f>VLOOKUP(Summary!M363,Summary!$P$42:$Q$43,2)</f>
        <v>86</v>
      </c>
      <c r="F353">
        <f>IF(LEFT(A353,3)="B60",20,IF(LEFT(A353,3)="B12",30,25))+B353*0.5+INT(Summary!M366*20)</f>
        <v>506</v>
      </c>
      <c r="G353">
        <f>ROUND(IF(OR(ISERROR(FIND(Summary!$P$89,CONCATENATE(C353,D353,E353))),ISERROR(FIND(Summary!$Q$89,A353))),Summary!$R$45,IF(H353&gt;Summary!$V$3,Summary!$R$46,Summary!$R$45))*(B353+30),0)</f>
        <v>10</v>
      </c>
      <c r="H353">
        <f>IF(H352&gt;Summary!$V$4,0,H352+F352)</f>
        <v>132057</v>
      </c>
      <c r="I353" s="26">
        <f>DATE(YEAR(Summary!$V$2),MONTH(Summary!$V$2),DAY(Summary!$V$2)+INT(H353/480))</f>
        <v>43865</v>
      </c>
      <c r="J353" s="27">
        <f t="shared" si="6"/>
        <v>0.37291666666666662</v>
      </c>
    </row>
    <row r="354" spans="1:10">
      <c r="A354" t="str">
        <f>VLOOKUP(Summary!M353,Summary!$P$13:$Q$24,2)</f>
        <v>B600-sky</v>
      </c>
      <c r="B354">
        <f>ROUND(NORMINV(Summary!M355,VLOOKUP(A354,Summary!$Q$13:$S$24,3,FALSE),VLOOKUP(A354,Summary!$Q$13:$S$24,3,FALSE)/6),-1)</f>
        <v>380</v>
      </c>
      <c r="C354" t="str">
        <f>IF(AND(H354=0,C353=Summary!$P$2),Summary!$Q$2,IF(AND(H354=0,C353=Summary!$Q$2),Summary!$R$2,C353))</f>
        <v>Neesha</v>
      </c>
      <c r="D354" t="str">
        <f>IF(C354=Summary!$P$26,VLOOKUP(Summary!M361,Summary!$Q$26:$R$27,2),IF('Run Data'!C354=Summary!$P$28,VLOOKUP(Summary!M361,Summary!$Q$28:$R$29,2),VLOOKUP(Summary!M361,Summary!$Q$30:$R$32,2)))</f>
        <v>Sprig 1</v>
      </c>
      <c r="E354" t="str">
        <f>VLOOKUP(Summary!M364,Summary!$P$42:$Q$43,2)</f>
        <v>86</v>
      </c>
      <c r="F354">
        <f>IF(LEFT(A354,3)="B60",20,IF(LEFT(A354,3)="B12",30,25))+B354*0.5+INT(Summary!M367*20)</f>
        <v>211</v>
      </c>
      <c r="G354">
        <f>ROUND(IF(OR(ISERROR(FIND(Summary!$P$89,CONCATENATE(C354,D354,E354))),ISERROR(FIND(Summary!$Q$89,A354))),Summary!$R$45,IF(H354&gt;Summary!$V$3,Summary!$R$46,Summary!$R$45))*(B354+30),0)</f>
        <v>4</v>
      </c>
      <c r="H354">
        <f>IF(H353&gt;Summary!$V$4,0,H353+F353)</f>
        <v>132563</v>
      </c>
      <c r="I354" s="26">
        <f>DATE(YEAR(Summary!$V$2),MONTH(Summary!$V$2),DAY(Summary!$V$2)+INT(H354/480))</f>
        <v>43866</v>
      </c>
      <c r="J354" s="27">
        <f t="shared" si="6"/>
        <v>0.39097222222222222</v>
      </c>
    </row>
    <row r="355" spans="1:10">
      <c r="A355" t="str">
        <f>VLOOKUP(Summary!M354,Summary!$P$13:$Q$24,2)</f>
        <v>B1700-sky</v>
      </c>
      <c r="B355">
        <f>ROUND(NORMINV(Summary!M356,VLOOKUP(A355,Summary!$Q$13:$S$24,3,FALSE),VLOOKUP(A355,Summary!$Q$13:$S$24,3,FALSE)/6),-1)</f>
        <v>440</v>
      </c>
      <c r="C355" t="str">
        <f>IF(AND(H355=0,C354=Summary!$P$2),Summary!$Q$2,IF(AND(H355=0,C354=Summary!$Q$2),Summary!$R$2,C354))</f>
        <v>Neesha</v>
      </c>
      <c r="D355" t="str">
        <f>IF(C355=Summary!$P$26,VLOOKUP(Summary!M362,Summary!$Q$26:$R$27,2),IF('Run Data'!C355=Summary!$P$28,VLOOKUP(Summary!M362,Summary!$Q$28:$R$29,2),VLOOKUP(Summary!M362,Summary!$Q$30:$R$32,2)))</f>
        <v>Sprig 1</v>
      </c>
      <c r="E355" t="str">
        <f>VLOOKUP(Summary!M365,Summary!$P$42:$Q$43,2)</f>
        <v>86</v>
      </c>
      <c r="F355">
        <f>IF(LEFT(A355,3)="B60",20,IF(LEFT(A355,3)="B12",30,25))+B355*0.5+INT(Summary!M368*20)</f>
        <v>251</v>
      </c>
      <c r="G355">
        <f>ROUND(IF(OR(ISERROR(FIND(Summary!$P$89,CONCATENATE(C355,D355,E355))),ISERROR(FIND(Summary!$Q$89,A355))),Summary!$R$45,IF(H355&gt;Summary!$V$3,Summary!$R$46,Summary!$R$45))*(B355+30),0)</f>
        <v>56</v>
      </c>
      <c r="H355">
        <f>IF(H354&gt;Summary!$V$4,0,H354+F354)</f>
        <v>132774</v>
      </c>
      <c r="I355" s="26">
        <f>DATE(YEAR(Summary!$V$2),MONTH(Summary!$V$2),DAY(Summary!$V$2)+INT(H355/480))</f>
        <v>43866</v>
      </c>
      <c r="J355" s="27">
        <f t="shared" si="6"/>
        <v>0.53749999999999998</v>
      </c>
    </row>
    <row r="356" spans="1:10">
      <c r="A356" t="str">
        <f>VLOOKUP(Summary!M355,Summary!$P$13:$Q$24,2)</f>
        <v>B600-sky</v>
      </c>
      <c r="B356">
        <f>ROUND(NORMINV(Summary!M357,VLOOKUP(A356,Summary!$Q$13:$S$24,3,FALSE),VLOOKUP(A356,Summary!$Q$13:$S$24,3,FALSE)/6),-1)</f>
        <v>480</v>
      </c>
      <c r="C356" t="str">
        <f>IF(AND(H356=0,C355=Summary!$P$2),Summary!$Q$2,IF(AND(H356=0,C355=Summary!$Q$2),Summary!$R$2,C355))</f>
        <v>Neesha</v>
      </c>
      <c r="D356" t="str">
        <f>IF(C356=Summary!$P$26,VLOOKUP(Summary!M363,Summary!$Q$26:$R$27,2),IF('Run Data'!C356=Summary!$P$28,VLOOKUP(Summary!M363,Summary!$Q$28:$R$29,2),VLOOKUP(Summary!M363,Summary!$Q$30:$R$32,2)))</f>
        <v>Sprig 1</v>
      </c>
      <c r="E356" t="str">
        <f>VLOOKUP(Summary!M366,Summary!$P$42:$Q$43,2)</f>
        <v>86</v>
      </c>
      <c r="F356">
        <f>IF(LEFT(A356,3)="B60",20,IF(LEFT(A356,3)="B12",30,25))+B356*0.5+INT(Summary!M369*20)</f>
        <v>265</v>
      </c>
      <c r="G356">
        <f>ROUND(IF(OR(ISERROR(FIND(Summary!$P$89,CONCATENATE(C356,D356,E356))),ISERROR(FIND(Summary!$Q$89,A356))),Summary!$R$45,IF(H356&gt;Summary!$V$3,Summary!$R$46,Summary!$R$45))*(B356+30),0)</f>
        <v>5</v>
      </c>
      <c r="H356">
        <f>IF(H355&gt;Summary!$V$4,0,H355+F355)</f>
        <v>133025</v>
      </c>
      <c r="I356" s="26">
        <f>DATE(YEAR(Summary!$V$2),MONTH(Summary!$V$2),DAY(Summary!$V$2)+INT(H356/480))</f>
        <v>43867</v>
      </c>
      <c r="J356" s="27">
        <f t="shared" si="6"/>
        <v>0.37847222222222227</v>
      </c>
    </row>
    <row r="357" spans="1:10">
      <c r="A357" t="str">
        <f>VLOOKUP(Summary!M356,Summary!$P$13:$Q$24,2)</f>
        <v>B600-fire</v>
      </c>
      <c r="B357">
        <f>ROUND(NORMINV(Summary!M358,VLOOKUP(A357,Summary!$Q$13:$S$24,3,FALSE),VLOOKUP(A357,Summary!$Q$13:$S$24,3,FALSE)/6),-1)</f>
        <v>350</v>
      </c>
      <c r="C357" t="str">
        <f>IF(AND(H357=0,C356=Summary!$P$2),Summary!$Q$2,IF(AND(H357=0,C356=Summary!$Q$2),Summary!$R$2,C356))</f>
        <v>Neesha</v>
      </c>
      <c r="D357" t="str">
        <f>IF(C357=Summary!$P$26,VLOOKUP(Summary!M364,Summary!$Q$26:$R$27,2),IF('Run Data'!C357=Summary!$P$28,VLOOKUP(Summary!M364,Summary!$Q$28:$R$29,2),VLOOKUP(Summary!M364,Summary!$Q$30:$R$32,2)))</f>
        <v>Sprig 4</v>
      </c>
      <c r="E357" t="str">
        <f>VLOOKUP(Summary!M367,Summary!$P$42:$Q$43,2)</f>
        <v>86</v>
      </c>
      <c r="F357">
        <f>IF(LEFT(A357,3)="B60",20,IF(LEFT(A357,3)="B12",30,25))+B357*0.5+INT(Summary!M370*20)</f>
        <v>210</v>
      </c>
      <c r="G357">
        <f>ROUND(IF(OR(ISERROR(FIND(Summary!$P$89,CONCATENATE(C357,D357,E357))),ISERROR(FIND(Summary!$Q$89,A357))),Summary!$R$45,IF(H357&gt;Summary!$V$3,Summary!$R$46,Summary!$R$45))*(B357+30),0)</f>
        <v>4</v>
      </c>
      <c r="H357">
        <f>IF(H356&gt;Summary!$V$4,0,H356+F356)</f>
        <v>133290</v>
      </c>
      <c r="I357" s="26">
        <f>DATE(YEAR(Summary!$V$2),MONTH(Summary!$V$2),DAY(Summary!$V$2)+INT(H357/480))</f>
        <v>43867</v>
      </c>
      <c r="J357" s="27">
        <f t="shared" si="6"/>
        <v>0.5625</v>
      </c>
    </row>
    <row r="358" spans="1:10">
      <c r="A358" t="str">
        <f>VLOOKUP(Summary!M357,Summary!$P$13:$Q$24,2)</f>
        <v>B1200-sky</v>
      </c>
      <c r="B358">
        <f>ROUND(NORMINV(Summary!M359,VLOOKUP(A358,Summary!$Q$13:$S$24,3,FALSE),VLOOKUP(A358,Summary!$Q$13:$S$24,3,FALSE)/6),-1)</f>
        <v>1210</v>
      </c>
      <c r="C358" t="str">
        <f>IF(AND(H358=0,C357=Summary!$P$2),Summary!$Q$2,IF(AND(H358=0,C357=Summary!$Q$2),Summary!$R$2,C357))</f>
        <v>Neesha</v>
      </c>
      <c r="D358" t="str">
        <f>IF(C358=Summary!$P$26,VLOOKUP(Summary!M365,Summary!$Q$26:$R$27,2),IF('Run Data'!C358=Summary!$P$28,VLOOKUP(Summary!M365,Summary!$Q$28:$R$29,2),VLOOKUP(Summary!M365,Summary!$Q$30:$R$32,2)))</f>
        <v>Sprig 1</v>
      </c>
      <c r="E358" t="str">
        <f>VLOOKUP(Summary!M368,Summary!$P$42:$Q$43,2)</f>
        <v>86</v>
      </c>
      <c r="F358">
        <f>IF(LEFT(A358,3)="B60",20,IF(LEFT(A358,3)="B12",30,25))+B358*0.5+INT(Summary!M371*20)</f>
        <v>654</v>
      </c>
      <c r="G358">
        <f>ROUND(IF(OR(ISERROR(FIND(Summary!$P$89,CONCATENATE(C358,D358,E358))),ISERROR(FIND(Summary!$Q$89,A358))),Summary!$R$45,IF(H358&gt;Summary!$V$3,Summary!$R$46,Summary!$R$45))*(B358+30),0)</f>
        <v>12</v>
      </c>
      <c r="H358">
        <f>IF(H357&gt;Summary!$V$4,0,H357+F357)</f>
        <v>133500</v>
      </c>
      <c r="I358" s="26">
        <f>DATE(YEAR(Summary!$V$2),MONTH(Summary!$V$2),DAY(Summary!$V$2)+INT(H358/480))</f>
        <v>43868</v>
      </c>
      <c r="J358" s="27">
        <f t="shared" si="6"/>
        <v>0.375</v>
      </c>
    </row>
    <row r="359" spans="1:10">
      <c r="A359" t="str">
        <f>VLOOKUP(Summary!M358,Summary!$P$13:$Q$24,2)</f>
        <v>B600-lime</v>
      </c>
      <c r="B359">
        <f>ROUND(NORMINV(Summary!M360,VLOOKUP(A359,Summary!$Q$13:$S$24,3,FALSE),VLOOKUP(A359,Summary!$Q$13:$S$24,3,FALSE)/6),-1)</f>
        <v>340</v>
      </c>
      <c r="C359" t="str">
        <f>IF(AND(H359=0,C358=Summary!$P$2),Summary!$Q$2,IF(AND(H359=0,C358=Summary!$Q$2),Summary!$R$2,C358))</f>
        <v>Neesha</v>
      </c>
      <c r="D359" t="str">
        <f>IF(C359=Summary!$P$26,VLOOKUP(Summary!M366,Summary!$Q$26:$R$27,2),IF('Run Data'!C359=Summary!$P$28,VLOOKUP(Summary!M366,Summary!$Q$28:$R$29,2),VLOOKUP(Summary!M366,Summary!$Q$30:$R$32,2)))</f>
        <v>Sprig 4</v>
      </c>
      <c r="E359" t="str">
        <f>VLOOKUP(Summary!M369,Summary!$P$42:$Q$43,2)</f>
        <v>86</v>
      </c>
      <c r="F359">
        <f>IF(LEFT(A359,3)="B60",20,IF(LEFT(A359,3)="B12",30,25))+B359*0.5+INT(Summary!M372*20)</f>
        <v>206</v>
      </c>
      <c r="G359">
        <f>ROUND(IF(OR(ISERROR(FIND(Summary!$P$89,CONCATENATE(C359,D359,E359))),ISERROR(FIND(Summary!$Q$89,A359))),Summary!$R$45,IF(H359&gt;Summary!$V$3,Summary!$R$46,Summary!$R$45))*(B359+30),0)</f>
        <v>4</v>
      </c>
      <c r="H359">
        <f>IF(H358&gt;Summary!$V$4,0,H358+F358)</f>
        <v>134154</v>
      </c>
      <c r="I359" s="26">
        <f>DATE(YEAR(Summary!$V$2),MONTH(Summary!$V$2),DAY(Summary!$V$2)+INT(H359/480))</f>
        <v>43869</v>
      </c>
      <c r="J359" s="27">
        <f t="shared" si="6"/>
        <v>0.49583333333333335</v>
      </c>
    </row>
    <row r="360" spans="1:10">
      <c r="A360" t="str">
        <f>VLOOKUP(Summary!M359,Summary!$P$13:$Q$24,2)</f>
        <v>B1200-fire</v>
      </c>
      <c r="B360">
        <f>ROUND(NORMINV(Summary!M361,VLOOKUP(A360,Summary!$Q$13:$S$24,3,FALSE),VLOOKUP(A360,Summary!$Q$13:$S$24,3,FALSE)/6),-1)</f>
        <v>1160</v>
      </c>
      <c r="C360" t="str">
        <f>IF(AND(H360=0,C359=Summary!$P$2),Summary!$Q$2,IF(AND(H360=0,C359=Summary!$Q$2),Summary!$R$2,C359))</f>
        <v>Neesha</v>
      </c>
      <c r="D360" t="str">
        <f>IF(C360=Summary!$P$26,VLOOKUP(Summary!M367,Summary!$Q$26:$R$27,2),IF('Run Data'!C360=Summary!$P$28,VLOOKUP(Summary!M367,Summary!$Q$28:$R$29,2),VLOOKUP(Summary!M367,Summary!$Q$30:$R$32,2)))</f>
        <v>Sprig 1</v>
      </c>
      <c r="E360" t="str">
        <f>VLOOKUP(Summary!M370,Summary!$P$42:$Q$43,2)</f>
        <v>86</v>
      </c>
      <c r="F360">
        <f>IF(LEFT(A360,3)="B60",20,IF(LEFT(A360,3)="B12",30,25))+B360*0.5+INT(Summary!M373*20)</f>
        <v>619</v>
      </c>
      <c r="G360">
        <f>ROUND(IF(OR(ISERROR(FIND(Summary!$P$89,CONCATENATE(C360,D360,E360))),ISERROR(FIND(Summary!$Q$89,A360))),Summary!$R$45,IF(H360&gt;Summary!$V$3,Summary!$R$46,Summary!$R$45))*(B360+30),0)</f>
        <v>12</v>
      </c>
      <c r="H360">
        <f>IF(H359&gt;Summary!$V$4,0,H359+F359)</f>
        <v>134360</v>
      </c>
      <c r="I360" s="26">
        <f>DATE(YEAR(Summary!$V$2),MONTH(Summary!$V$2),DAY(Summary!$V$2)+INT(H360/480))</f>
        <v>43869</v>
      </c>
      <c r="J360" s="27">
        <f t="shared" si="6"/>
        <v>0.63888888888888895</v>
      </c>
    </row>
    <row r="361" spans="1:10">
      <c r="A361" t="str">
        <f>VLOOKUP(Summary!M360,Summary!$P$13:$Q$24,2)</f>
        <v>B1700-sky</v>
      </c>
      <c r="B361">
        <f>ROUND(NORMINV(Summary!M362,VLOOKUP(A361,Summary!$Q$13:$S$24,3,FALSE),VLOOKUP(A361,Summary!$Q$13:$S$24,3,FALSE)/6),-1)</f>
        <v>500</v>
      </c>
      <c r="C361" t="str">
        <f>IF(AND(H361=0,C360=Summary!$P$2),Summary!$Q$2,IF(AND(H361=0,C360=Summary!$Q$2),Summary!$R$2,C360))</f>
        <v>Neesha</v>
      </c>
      <c r="D361" t="str">
        <f>IF(C361=Summary!$P$26,VLOOKUP(Summary!M368,Summary!$Q$26:$R$27,2),IF('Run Data'!C361=Summary!$P$28,VLOOKUP(Summary!M368,Summary!$Q$28:$R$29,2),VLOOKUP(Summary!M368,Summary!$Q$30:$R$32,2)))</f>
        <v>Sprig 1</v>
      </c>
      <c r="E361" t="str">
        <f>VLOOKUP(Summary!M371,Summary!$P$42:$Q$43,2)</f>
        <v>87b</v>
      </c>
      <c r="F361">
        <f>IF(LEFT(A361,3)="B60",20,IF(LEFT(A361,3)="B12",30,25))+B361*0.5+INT(Summary!M374*20)</f>
        <v>288</v>
      </c>
      <c r="G361">
        <f>ROUND(IF(OR(ISERROR(FIND(Summary!$P$89,CONCATENATE(C361,D361,E361))),ISERROR(FIND(Summary!$Q$89,A361))),Summary!$R$45,IF(H361&gt;Summary!$V$3,Summary!$R$46,Summary!$R$45))*(B361+30),0)</f>
        <v>5</v>
      </c>
      <c r="H361">
        <f>IF(H360&gt;Summary!$V$4,0,H360+F360)</f>
        <v>134979</v>
      </c>
      <c r="I361" s="26">
        <f>DATE(YEAR(Summary!$V$2),MONTH(Summary!$V$2),DAY(Summary!$V$2)+INT(H361/480))</f>
        <v>43871</v>
      </c>
      <c r="J361" s="27">
        <f t="shared" si="6"/>
        <v>0.40208333333333335</v>
      </c>
    </row>
    <row r="362" spans="1:10">
      <c r="A362" t="str">
        <f>VLOOKUP(Summary!M361,Summary!$P$13:$Q$24,2)</f>
        <v>B1200-sky</v>
      </c>
      <c r="B362">
        <f>ROUND(NORMINV(Summary!M363,VLOOKUP(A362,Summary!$Q$13:$S$24,3,FALSE),VLOOKUP(A362,Summary!$Q$13:$S$24,3,FALSE)/6),-1)</f>
        <v>1230</v>
      </c>
      <c r="C362" t="str">
        <f>IF(AND(H362=0,C361=Summary!$P$2),Summary!$Q$2,IF(AND(H362=0,C361=Summary!$Q$2),Summary!$R$2,C361))</f>
        <v>Neesha</v>
      </c>
      <c r="D362" t="str">
        <f>IF(C362=Summary!$P$26,VLOOKUP(Summary!M369,Summary!$Q$26:$R$27,2),IF('Run Data'!C362=Summary!$P$28,VLOOKUP(Summary!M369,Summary!$Q$28:$R$29,2),VLOOKUP(Summary!M369,Summary!$Q$30:$R$32,2)))</f>
        <v>Sprig 1</v>
      </c>
      <c r="E362" t="str">
        <f>VLOOKUP(Summary!M372,Summary!$P$42:$Q$43,2)</f>
        <v>86</v>
      </c>
      <c r="F362">
        <f>IF(LEFT(A362,3)="B60",20,IF(LEFT(A362,3)="B12",30,25))+B362*0.5+INT(Summary!M375*20)</f>
        <v>658</v>
      </c>
      <c r="G362">
        <f>ROUND(IF(OR(ISERROR(FIND(Summary!$P$89,CONCATENATE(C362,D362,E362))),ISERROR(FIND(Summary!$Q$89,A362))),Summary!$R$45,IF(H362&gt;Summary!$V$3,Summary!$R$46,Summary!$R$45))*(B362+30),0)</f>
        <v>13</v>
      </c>
      <c r="H362">
        <f>IF(H361&gt;Summary!$V$4,0,H361+F361)</f>
        <v>135267</v>
      </c>
      <c r="I362" s="26">
        <f>DATE(YEAR(Summary!$V$2),MONTH(Summary!$V$2),DAY(Summary!$V$2)+INT(H362/480))</f>
        <v>43871</v>
      </c>
      <c r="J362" s="27">
        <f t="shared" si="6"/>
        <v>0.6020833333333333</v>
      </c>
    </row>
    <row r="363" spans="1:10">
      <c r="A363" t="str">
        <f>VLOOKUP(Summary!M362,Summary!$P$13:$Q$24,2)</f>
        <v>B1200-plum</v>
      </c>
      <c r="B363">
        <f>ROUND(NORMINV(Summary!M364,VLOOKUP(A363,Summary!$Q$13:$S$24,3,FALSE),VLOOKUP(A363,Summary!$Q$13:$S$24,3,FALSE)/6),-1)</f>
        <v>500</v>
      </c>
      <c r="C363" t="str">
        <f>IF(AND(H363=0,C362=Summary!$P$2),Summary!$Q$2,IF(AND(H363=0,C362=Summary!$Q$2),Summary!$R$2,C362))</f>
        <v>Neesha</v>
      </c>
      <c r="D363" t="str">
        <f>IF(C363=Summary!$P$26,VLOOKUP(Summary!M370,Summary!$Q$26:$R$27,2),IF('Run Data'!C363=Summary!$P$28,VLOOKUP(Summary!M370,Summary!$Q$28:$R$29,2),VLOOKUP(Summary!M370,Summary!$Q$30:$R$32,2)))</f>
        <v>Sprig 4</v>
      </c>
      <c r="E363" t="str">
        <f>VLOOKUP(Summary!M373,Summary!$P$42:$Q$43,2)</f>
        <v>86</v>
      </c>
      <c r="F363">
        <f>IF(LEFT(A363,3)="B60",20,IF(LEFT(A363,3)="B12",30,25))+B363*0.5+INT(Summary!M376*20)</f>
        <v>298</v>
      </c>
      <c r="G363">
        <f>ROUND(IF(OR(ISERROR(FIND(Summary!$P$89,CONCATENATE(C363,D363,E363))),ISERROR(FIND(Summary!$Q$89,A363))),Summary!$R$45,IF(H363&gt;Summary!$V$3,Summary!$R$46,Summary!$R$45))*(B363+30),0)</f>
        <v>5</v>
      </c>
      <c r="H363">
        <f>IF(H362&gt;Summary!$V$4,0,H362+F362)</f>
        <v>135925</v>
      </c>
      <c r="I363" s="26">
        <f>DATE(YEAR(Summary!$V$2),MONTH(Summary!$V$2),DAY(Summary!$V$2)+INT(H363/480))</f>
        <v>43873</v>
      </c>
      <c r="J363" s="27">
        <f t="shared" si="6"/>
        <v>0.3923611111111111</v>
      </c>
    </row>
    <row r="364" spans="1:10">
      <c r="A364" t="str">
        <f>VLOOKUP(Summary!M363,Summary!$P$13:$Q$24,2)</f>
        <v>B1200-lime</v>
      </c>
      <c r="B364">
        <f>ROUND(NORMINV(Summary!M365,VLOOKUP(A364,Summary!$Q$13:$S$24,3,FALSE),VLOOKUP(A364,Summary!$Q$13:$S$24,3,FALSE)/6),-1)</f>
        <v>720</v>
      </c>
      <c r="C364" t="str">
        <f>IF(AND(H364=0,C363=Summary!$P$2),Summary!$Q$2,IF(AND(H364=0,C363=Summary!$Q$2),Summary!$R$2,C363))</f>
        <v>Neesha</v>
      </c>
      <c r="D364" t="str">
        <f>IF(C364=Summary!$P$26,VLOOKUP(Summary!M371,Summary!$Q$26:$R$27,2),IF('Run Data'!C364=Summary!$P$28,VLOOKUP(Summary!M371,Summary!$Q$28:$R$29,2),VLOOKUP(Summary!M371,Summary!$Q$30:$R$32,2)))</f>
        <v>Sprig 4</v>
      </c>
      <c r="E364" t="str">
        <f>VLOOKUP(Summary!M374,Summary!$P$42:$Q$43,2)</f>
        <v>86</v>
      </c>
      <c r="F364">
        <f>IF(LEFT(A364,3)="B60",20,IF(LEFT(A364,3)="B12",30,25))+B364*0.5+INT(Summary!M377*20)</f>
        <v>401</v>
      </c>
      <c r="G364">
        <f>ROUND(IF(OR(ISERROR(FIND(Summary!$P$89,CONCATENATE(C364,D364,E364))),ISERROR(FIND(Summary!$Q$89,A364))),Summary!$R$45,IF(H364&gt;Summary!$V$3,Summary!$R$46,Summary!$R$45))*(B364+30),0)</f>
        <v>8</v>
      </c>
      <c r="H364">
        <f>IF(H363&gt;Summary!$V$4,0,H363+F363)</f>
        <v>136223</v>
      </c>
      <c r="I364" s="26">
        <f>DATE(YEAR(Summary!$V$2),MONTH(Summary!$V$2),DAY(Summary!$V$2)+INT(H364/480))</f>
        <v>43873</v>
      </c>
      <c r="J364" s="27">
        <f t="shared" si="6"/>
        <v>0.59930555555555554</v>
      </c>
    </row>
    <row r="365" spans="1:10">
      <c r="A365" t="str">
        <f>VLOOKUP(Summary!M364,Summary!$P$13:$Q$24,2)</f>
        <v>B1700-plum</v>
      </c>
      <c r="B365">
        <f>ROUND(NORMINV(Summary!M366,VLOOKUP(A365,Summary!$Q$13:$S$24,3,FALSE),VLOOKUP(A365,Summary!$Q$13:$S$24,3,FALSE)/6),-1)</f>
        <v>350</v>
      </c>
      <c r="C365" t="str">
        <f>IF(AND(H365=0,C364=Summary!$P$2),Summary!$Q$2,IF(AND(H365=0,C364=Summary!$Q$2),Summary!$R$2,C364))</f>
        <v>Neesha</v>
      </c>
      <c r="D365" t="str">
        <f>IF(C365=Summary!$P$26,VLOOKUP(Summary!M372,Summary!$Q$26:$R$27,2),IF('Run Data'!C365=Summary!$P$28,VLOOKUP(Summary!M372,Summary!$Q$28:$R$29,2),VLOOKUP(Summary!M372,Summary!$Q$30:$R$32,2)))</f>
        <v>Sprig 4</v>
      </c>
      <c r="E365" t="str">
        <f>VLOOKUP(Summary!M375,Summary!$P$42:$Q$43,2)</f>
        <v>86</v>
      </c>
      <c r="F365">
        <f>IF(LEFT(A365,3)="B60",20,IF(LEFT(A365,3)="B12",30,25))+B365*0.5+INT(Summary!M378*20)</f>
        <v>204</v>
      </c>
      <c r="G365">
        <f>ROUND(IF(OR(ISERROR(FIND(Summary!$P$89,CONCATENATE(C365,D365,E365))),ISERROR(FIND(Summary!$Q$89,A365))),Summary!$R$45,IF(H365&gt;Summary!$V$3,Summary!$R$46,Summary!$R$45))*(B365+30),0)</f>
        <v>46</v>
      </c>
      <c r="H365">
        <f>IF(H364&gt;Summary!$V$4,0,H364+F364)</f>
        <v>136624</v>
      </c>
      <c r="I365" s="26">
        <f>DATE(YEAR(Summary!$V$2),MONTH(Summary!$V$2),DAY(Summary!$V$2)+INT(H365/480))</f>
        <v>43874</v>
      </c>
      <c r="J365" s="27">
        <f t="shared" si="6"/>
        <v>0.5444444444444444</v>
      </c>
    </row>
    <row r="366" spans="1:10">
      <c r="A366" t="str">
        <f>VLOOKUP(Summary!M365,Summary!$P$13:$Q$24,2)</f>
        <v>B1200-plum</v>
      </c>
      <c r="B366">
        <f>ROUND(NORMINV(Summary!M367,VLOOKUP(A366,Summary!$Q$13:$S$24,3,FALSE),VLOOKUP(A366,Summary!$Q$13:$S$24,3,FALSE)/6),-1)</f>
        <v>350</v>
      </c>
      <c r="C366" t="str">
        <f>IF(AND(H366=0,C365=Summary!$P$2),Summary!$Q$2,IF(AND(H366=0,C365=Summary!$Q$2),Summary!$R$2,C365))</f>
        <v>Neesha</v>
      </c>
      <c r="D366" t="str">
        <f>IF(C366=Summary!$P$26,VLOOKUP(Summary!M373,Summary!$Q$26:$R$27,2),IF('Run Data'!C366=Summary!$P$28,VLOOKUP(Summary!M373,Summary!$Q$28:$R$29,2),VLOOKUP(Summary!M373,Summary!$Q$30:$R$32,2)))</f>
        <v>Sprig 1</v>
      </c>
      <c r="E366" t="str">
        <f>VLOOKUP(Summary!M376,Summary!$P$42:$Q$43,2)</f>
        <v>87b</v>
      </c>
      <c r="F366">
        <f>IF(LEFT(A366,3)="B60",20,IF(LEFT(A366,3)="B12",30,25))+B366*0.5+INT(Summary!M379*20)</f>
        <v>221</v>
      </c>
      <c r="G366">
        <f>ROUND(IF(OR(ISERROR(FIND(Summary!$P$89,CONCATENATE(C366,D366,E366))),ISERROR(FIND(Summary!$Q$89,A366))),Summary!$R$45,IF(H366&gt;Summary!$V$3,Summary!$R$46,Summary!$R$45))*(B366+30),0)</f>
        <v>4</v>
      </c>
      <c r="H366">
        <f>IF(H365&gt;Summary!$V$4,0,H365+F365)</f>
        <v>136828</v>
      </c>
      <c r="I366" s="26">
        <f>DATE(YEAR(Summary!$V$2),MONTH(Summary!$V$2),DAY(Summary!$V$2)+INT(H366/480))</f>
        <v>43875</v>
      </c>
      <c r="J366" s="27">
        <f t="shared" si="6"/>
        <v>0.3527777777777778</v>
      </c>
    </row>
    <row r="367" spans="1:10">
      <c r="A367" t="str">
        <f>VLOOKUP(Summary!M366,Summary!$P$13:$Q$24,2)</f>
        <v>B1700-sky</v>
      </c>
      <c r="B367">
        <f>ROUND(NORMINV(Summary!M368,VLOOKUP(A367,Summary!$Q$13:$S$24,3,FALSE),VLOOKUP(A367,Summary!$Q$13:$S$24,3,FALSE)/6),-1)</f>
        <v>510</v>
      </c>
      <c r="C367" t="str">
        <f>IF(AND(H367=0,C366=Summary!$P$2),Summary!$Q$2,IF(AND(H367=0,C366=Summary!$Q$2),Summary!$R$2,C366))</f>
        <v>Neesha</v>
      </c>
      <c r="D367" t="str">
        <f>IF(C367=Summary!$P$26,VLOOKUP(Summary!M374,Summary!$Q$26:$R$27,2),IF('Run Data'!C367=Summary!$P$28,VLOOKUP(Summary!M374,Summary!$Q$28:$R$29,2),VLOOKUP(Summary!M374,Summary!$Q$30:$R$32,2)))</f>
        <v>Sprig 1</v>
      </c>
      <c r="E367" t="str">
        <f>VLOOKUP(Summary!M377,Summary!$P$42:$Q$43,2)</f>
        <v>86</v>
      </c>
      <c r="F367">
        <f>IF(LEFT(A367,3)="B60",20,IF(LEFT(A367,3)="B12",30,25))+B367*0.5+INT(Summary!M380*20)</f>
        <v>283</v>
      </c>
      <c r="G367">
        <f>ROUND(IF(OR(ISERROR(FIND(Summary!$P$89,CONCATENATE(C367,D367,E367))),ISERROR(FIND(Summary!$Q$89,A367))),Summary!$R$45,IF(H367&gt;Summary!$V$3,Summary!$R$46,Summary!$R$45))*(B367+30),0)</f>
        <v>65</v>
      </c>
      <c r="H367">
        <f>IF(H366&gt;Summary!$V$4,0,H366+F366)</f>
        <v>137049</v>
      </c>
      <c r="I367" s="26">
        <f>DATE(YEAR(Summary!$V$2),MONTH(Summary!$V$2),DAY(Summary!$V$2)+INT(H367/480))</f>
        <v>43875</v>
      </c>
      <c r="J367" s="27">
        <f t="shared" si="6"/>
        <v>0.50624999999999998</v>
      </c>
    </row>
    <row r="368" spans="1:10">
      <c r="A368" t="str">
        <f>VLOOKUP(Summary!M367,Summary!$P$13:$Q$24,2)</f>
        <v>B600-sky</v>
      </c>
      <c r="B368">
        <f>ROUND(NORMINV(Summary!M369,VLOOKUP(A368,Summary!$Q$13:$S$24,3,FALSE),VLOOKUP(A368,Summary!$Q$13:$S$24,3,FALSE)/6),-1)</f>
        <v>450</v>
      </c>
      <c r="C368" t="str">
        <f>IF(AND(H368=0,C367=Summary!$P$2),Summary!$Q$2,IF(AND(H368=0,C367=Summary!$Q$2),Summary!$R$2,C367))</f>
        <v>Neesha</v>
      </c>
      <c r="D368" t="str">
        <f>IF(C368=Summary!$P$26,VLOOKUP(Summary!M375,Summary!$Q$26:$R$27,2),IF('Run Data'!C368=Summary!$P$28,VLOOKUP(Summary!M375,Summary!$Q$28:$R$29,2),VLOOKUP(Summary!M375,Summary!$Q$30:$R$32,2)))</f>
        <v>Sprig 1</v>
      </c>
      <c r="E368" t="str">
        <f>VLOOKUP(Summary!M378,Summary!$P$42:$Q$43,2)</f>
        <v>86</v>
      </c>
      <c r="F368">
        <f>IF(LEFT(A368,3)="B60",20,IF(LEFT(A368,3)="B12",30,25))+B368*0.5+INT(Summary!M381*20)</f>
        <v>260</v>
      </c>
      <c r="G368">
        <f>ROUND(IF(OR(ISERROR(FIND(Summary!$P$89,CONCATENATE(C368,D368,E368))),ISERROR(FIND(Summary!$Q$89,A368))),Summary!$R$45,IF(H368&gt;Summary!$V$3,Summary!$R$46,Summary!$R$45))*(B368+30),0)</f>
        <v>5</v>
      </c>
      <c r="H368">
        <f>IF(H367&gt;Summary!$V$4,0,H367+F367)</f>
        <v>137332</v>
      </c>
      <c r="I368" s="26">
        <f>DATE(YEAR(Summary!$V$2),MONTH(Summary!$V$2),DAY(Summary!$V$2)+INT(H368/480))</f>
        <v>43876</v>
      </c>
      <c r="J368" s="27">
        <f t="shared" si="6"/>
        <v>0.36944444444444446</v>
      </c>
    </row>
    <row r="369" spans="1:10">
      <c r="A369" t="str">
        <f>VLOOKUP(Summary!M368,Summary!$P$13:$Q$24,2)</f>
        <v>B1200-plum</v>
      </c>
      <c r="B369">
        <f>ROUND(NORMINV(Summary!M370,VLOOKUP(A369,Summary!$Q$13:$S$24,3,FALSE),VLOOKUP(A369,Summary!$Q$13:$S$24,3,FALSE)/6),-1)</f>
        <v>510</v>
      </c>
      <c r="C369" t="str">
        <f>IF(AND(H369=0,C368=Summary!$P$2),Summary!$Q$2,IF(AND(H369=0,C368=Summary!$Q$2),Summary!$R$2,C368))</f>
        <v>Neesha</v>
      </c>
      <c r="D369" t="str">
        <f>IF(C369=Summary!$P$26,VLOOKUP(Summary!M376,Summary!$Q$26:$R$27,2),IF('Run Data'!C369=Summary!$P$28,VLOOKUP(Summary!M376,Summary!$Q$28:$R$29,2),VLOOKUP(Summary!M376,Summary!$Q$30:$R$32,2)))</f>
        <v>Sprig 4</v>
      </c>
      <c r="E369" t="str">
        <f>VLOOKUP(Summary!M379,Summary!$P$42:$Q$43,2)</f>
        <v>86</v>
      </c>
      <c r="F369">
        <f>IF(LEFT(A369,3)="B60",20,IF(LEFT(A369,3)="B12",30,25))+B369*0.5+INT(Summary!M382*20)</f>
        <v>298</v>
      </c>
      <c r="G369">
        <f>ROUND(IF(OR(ISERROR(FIND(Summary!$P$89,CONCATENATE(C369,D369,E369))),ISERROR(FIND(Summary!$Q$89,A369))),Summary!$R$45,IF(H369&gt;Summary!$V$3,Summary!$R$46,Summary!$R$45))*(B369+30),0)</f>
        <v>5</v>
      </c>
      <c r="H369">
        <f>IF(H368&gt;Summary!$V$4,0,H368+F368)</f>
        <v>137592</v>
      </c>
      <c r="I369" s="26">
        <f>DATE(YEAR(Summary!$V$2),MONTH(Summary!$V$2),DAY(Summary!$V$2)+INT(H369/480))</f>
        <v>43876</v>
      </c>
      <c r="J369" s="27">
        <f t="shared" si="6"/>
        <v>0.54999999999999993</v>
      </c>
    </row>
    <row r="370" spans="1:10">
      <c r="A370" t="str">
        <f>VLOOKUP(Summary!M369,Summary!$P$13:$Q$24,2)</f>
        <v>B1200-plum</v>
      </c>
      <c r="B370">
        <f>ROUND(NORMINV(Summary!M371,VLOOKUP(A370,Summary!$Q$13:$S$24,3,FALSE),VLOOKUP(A370,Summary!$Q$13:$S$24,3,FALSE)/6),-1)</f>
        <v>620</v>
      </c>
      <c r="C370" t="str">
        <f>IF(AND(H370=0,C369=Summary!$P$2),Summary!$Q$2,IF(AND(H370=0,C369=Summary!$Q$2),Summary!$R$2,C369))</f>
        <v>Neesha</v>
      </c>
      <c r="D370" t="str">
        <f>IF(C370=Summary!$P$26,VLOOKUP(Summary!M377,Summary!$Q$26:$R$27,2),IF('Run Data'!C370=Summary!$P$28,VLOOKUP(Summary!M377,Summary!$Q$28:$R$29,2),VLOOKUP(Summary!M377,Summary!$Q$30:$R$32,2)))</f>
        <v>Sprig 1</v>
      </c>
      <c r="E370" t="str">
        <f>VLOOKUP(Summary!M380,Summary!$P$42:$Q$43,2)</f>
        <v>86</v>
      </c>
      <c r="F370">
        <f>IF(LEFT(A370,3)="B60",20,IF(LEFT(A370,3)="B12",30,25))+B370*0.5+INT(Summary!M383*20)</f>
        <v>349</v>
      </c>
      <c r="G370">
        <f>ROUND(IF(OR(ISERROR(FIND(Summary!$P$89,CONCATENATE(C370,D370,E370))),ISERROR(FIND(Summary!$Q$89,A370))),Summary!$R$45,IF(H370&gt;Summary!$V$3,Summary!$R$46,Summary!$R$45))*(B370+30),0)</f>
        <v>7</v>
      </c>
      <c r="H370">
        <f>IF(H369&gt;Summary!$V$4,0,H369+F369)</f>
        <v>137890</v>
      </c>
      <c r="I370" s="26">
        <f>DATE(YEAR(Summary!$V$2),MONTH(Summary!$V$2),DAY(Summary!$V$2)+INT(H370/480))</f>
        <v>43877</v>
      </c>
      <c r="J370" s="27">
        <f t="shared" si="6"/>
        <v>0.4236111111111111</v>
      </c>
    </row>
    <row r="371" spans="1:10">
      <c r="A371" t="str">
        <f>VLOOKUP(Summary!M370,Summary!$P$13:$Q$24,2)</f>
        <v>B1700-sky</v>
      </c>
      <c r="B371">
        <f>ROUND(NORMINV(Summary!M372,VLOOKUP(A371,Summary!$Q$13:$S$24,3,FALSE),VLOOKUP(A371,Summary!$Q$13:$S$24,3,FALSE)/6),-1)</f>
        <v>630</v>
      </c>
      <c r="C371" t="str">
        <f>IF(AND(H371=0,C370=Summary!$P$2),Summary!$Q$2,IF(AND(H371=0,C370=Summary!$Q$2),Summary!$R$2,C370))</f>
        <v>Neesha</v>
      </c>
      <c r="D371" t="str">
        <f>IF(C371=Summary!$P$26,VLOOKUP(Summary!M378,Summary!$Q$26:$R$27,2),IF('Run Data'!C371=Summary!$P$28,VLOOKUP(Summary!M378,Summary!$Q$28:$R$29,2),VLOOKUP(Summary!M378,Summary!$Q$30:$R$32,2)))</f>
        <v>Sprig 1</v>
      </c>
      <c r="E371" t="str">
        <f>VLOOKUP(Summary!M381,Summary!$P$42:$Q$43,2)</f>
        <v>86</v>
      </c>
      <c r="F371">
        <f>IF(LEFT(A371,3)="B60",20,IF(LEFT(A371,3)="B12",30,25))+B371*0.5+INT(Summary!M384*20)</f>
        <v>348</v>
      </c>
      <c r="G371">
        <f>ROUND(IF(OR(ISERROR(FIND(Summary!$P$89,CONCATENATE(C371,D371,E371))),ISERROR(FIND(Summary!$Q$89,A371))),Summary!$R$45,IF(H371&gt;Summary!$V$3,Summary!$R$46,Summary!$R$45))*(B371+30),0)</f>
        <v>79</v>
      </c>
      <c r="H371">
        <f>IF(H370&gt;Summary!$V$4,0,H370+F370)</f>
        <v>138239</v>
      </c>
      <c r="I371" s="26">
        <f>DATE(YEAR(Summary!$V$2),MONTH(Summary!$V$2),DAY(Summary!$V$2)+INT(H371/480))</f>
        <v>43877</v>
      </c>
      <c r="J371" s="27">
        <f t="shared" si="6"/>
        <v>0.66597222222222219</v>
      </c>
    </row>
    <row r="372" spans="1:10">
      <c r="A372" t="str">
        <f>VLOOKUP(Summary!M371,Summary!$P$13:$Q$24,2)</f>
        <v>B1700-lime</v>
      </c>
      <c r="B372">
        <f>ROUND(NORMINV(Summary!M373,VLOOKUP(A372,Summary!$Q$13:$S$24,3,FALSE),VLOOKUP(A372,Summary!$Q$13:$S$24,3,FALSE)/6),-1)</f>
        <v>390</v>
      </c>
      <c r="C372" t="str">
        <f>IF(AND(H372=0,C371=Summary!$P$2),Summary!$Q$2,IF(AND(H372=0,C371=Summary!$Q$2),Summary!$R$2,C371))</f>
        <v>Neesha</v>
      </c>
      <c r="D372" t="str">
        <f>IF(C372=Summary!$P$26,VLOOKUP(Summary!M379,Summary!$Q$26:$R$27,2),IF('Run Data'!C372=Summary!$P$28,VLOOKUP(Summary!M379,Summary!$Q$28:$R$29,2),VLOOKUP(Summary!M379,Summary!$Q$30:$R$32,2)))</f>
        <v>Sprig 4</v>
      </c>
      <c r="E372" t="str">
        <f>VLOOKUP(Summary!M382,Summary!$P$42:$Q$43,2)</f>
        <v>86</v>
      </c>
      <c r="F372">
        <f>IF(LEFT(A372,3)="B60",20,IF(LEFT(A372,3)="B12",30,25))+B372*0.5+INT(Summary!M385*20)</f>
        <v>221</v>
      </c>
      <c r="G372">
        <f>ROUND(IF(OR(ISERROR(FIND(Summary!$P$89,CONCATENATE(C372,D372,E372))),ISERROR(FIND(Summary!$Q$89,A372))),Summary!$R$45,IF(H372&gt;Summary!$V$3,Summary!$R$46,Summary!$R$45))*(B372+30),0)</f>
        <v>50</v>
      </c>
      <c r="H372">
        <f>IF(H371&gt;Summary!$V$4,0,H371+F371)</f>
        <v>138587</v>
      </c>
      <c r="I372" s="26">
        <f>DATE(YEAR(Summary!$V$2),MONTH(Summary!$V$2),DAY(Summary!$V$2)+INT(H372/480))</f>
        <v>43878</v>
      </c>
      <c r="J372" s="27">
        <f t="shared" si="6"/>
        <v>0.57430555555555551</v>
      </c>
    </row>
    <row r="373" spans="1:10">
      <c r="A373" t="str">
        <f>VLOOKUP(Summary!M372,Summary!$P$13:$Q$24,2)</f>
        <v>B1700-sky</v>
      </c>
      <c r="B373">
        <f>ROUND(NORMINV(Summary!M374,VLOOKUP(A373,Summary!$Q$13:$S$24,3,FALSE),VLOOKUP(A373,Summary!$Q$13:$S$24,3,FALSE)/6),-1)</f>
        <v>590</v>
      </c>
      <c r="C373" t="str">
        <f>IF(AND(H373=0,C372=Summary!$P$2),Summary!$Q$2,IF(AND(H373=0,C372=Summary!$Q$2),Summary!$R$2,C372))</f>
        <v>Neesha</v>
      </c>
      <c r="D373" t="str">
        <f>IF(C373=Summary!$P$26,VLOOKUP(Summary!M380,Summary!$Q$26:$R$27,2),IF('Run Data'!C373=Summary!$P$28,VLOOKUP(Summary!M380,Summary!$Q$28:$R$29,2),VLOOKUP(Summary!M380,Summary!$Q$30:$R$32,2)))</f>
        <v>Sprig 1</v>
      </c>
      <c r="E373" t="str">
        <f>VLOOKUP(Summary!M383,Summary!$P$42:$Q$43,2)</f>
        <v>86</v>
      </c>
      <c r="F373">
        <f>IF(LEFT(A373,3)="B60",20,IF(LEFT(A373,3)="B12",30,25))+B373*0.5+INT(Summary!M386*20)</f>
        <v>339</v>
      </c>
      <c r="G373">
        <f>ROUND(IF(OR(ISERROR(FIND(Summary!$P$89,CONCATENATE(C373,D373,E373))),ISERROR(FIND(Summary!$Q$89,A373))),Summary!$R$45,IF(H373&gt;Summary!$V$3,Summary!$R$46,Summary!$R$45))*(B373+30),0)</f>
        <v>74</v>
      </c>
      <c r="H373">
        <f>IF(H372&gt;Summary!$V$4,0,H372+F372)</f>
        <v>138808</v>
      </c>
      <c r="I373" s="26">
        <f>DATE(YEAR(Summary!$V$2),MONTH(Summary!$V$2),DAY(Summary!$V$2)+INT(H373/480))</f>
        <v>43879</v>
      </c>
      <c r="J373" s="27">
        <f t="shared" si="6"/>
        <v>0.39444444444444443</v>
      </c>
    </row>
    <row r="374" spans="1:10">
      <c r="A374" t="str">
        <f>VLOOKUP(Summary!M373,Summary!$P$13:$Q$24,2)</f>
        <v>B1200-fire</v>
      </c>
      <c r="B374">
        <f>ROUND(NORMINV(Summary!M375,VLOOKUP(A374,Summary!$Q$13:$S$24,3,FALSE),VLOOKUP(A374,Summary!$Q$13:$S$24,3,FALSE)/6),-1)</f>
        <v>1280</v>
      </c>
      <c r="C374" t="str">
        <f>IF(AND(H374=0,C373=Summary!$P$2),Summary!$Q$2,IF(AND(H374=0,C373=Summary!$Q$2),Summary!$R$2,C373))</f>
        <v>Neesha</v>
      </c>
      <c r="D374" t="str">
        <f>IF(C374=Summary!$P$26,VLOOKUP(Summary!M381,Summary!$Q$26:$R$27,2),IF('Run Data'!C374=Summary!$P$28,VLOOKUP(Summary!M381,Summary!$Q$28:$R$29,2),VLOOKUP(Summary!M381,Summary!$Q$30:$R$32,2)))</f>
        <v>Sprig 4</v>
      </c>
      <c r="E374" t="str">
        <f>VLOOKUP(Summary!M384,Summary!$P$42:$Q$43,2)</f>
        <v>86</v>
      </c>
      <c r="F374">
        <f>IF(LEFT(A374,3)="B60",20,IF(LEFT(A374,3)="B12",30,25))+B374*0.5+INT(Summary!M387*20)</f>
        <v>676</v>
      </c>
      <c r="G374">
        <f>ROUND(IF(OR(ISERROR(FIND(Summary!$P$89,CONCATENATE(C374,D374,E374))),ISERROR(FIND(Summary!$Q$89,A374))),Summary!$R$45,IF(H374&gt;Summary!$V$3,Summary!$R$46,Summary!$R$45))*(B374+30),0)</f>
        <v>13</v>
      </c>
      <c r="H374">
        <f>IF(H373&gt;Summary!$V$4,0,H373+F373)</f>
        <v>139147</v>
      </c>
      <c r="I374" s="26">
        <f>DATE(YEAR(Summary!$V$2),MONTH(Summary!$V$2),DAY(Summary!$V$2)+INT(H374/480))</f>
        <v>43879</v>
      </c>
      <c r="J374" s="27">
        <f t="shared" si="6"/>
        <v>0.62986111111111109</v>
      </c>
    </row>
    <row r="375" spans="1:10">
      <c r="A375" t="str">
        <f>VLOOKUP(Summary!M374,Summary!$P$13:$Q$24,2)</f>
        <v>B1200-lime</v>
      </c>
      <c r="B375">
        <f>ROUND(NORMINV(Summary!M376,VLOOKUP(A375,Summary!$Q$13:$S$24,3,FALSE),VLOOKUP(A375,Summary!$Q$13:$S$24,3,FALSE)/6),-1)</f>
        <v>990</v>
      </c>
      <c r="C375" t="str">
        <f>IF(AND(H375=0,C374=Summary!$P$2),Summary!$Q$2,IF(AND(H375=0,C374=Summary!$Q$2),Summary!$R$2,C374))</f>
        <v>Neesha</v>
      </c>
      <c r="D375" t="str">
        <f>IF(C375=Summary!$P$26,VLOOKUP(Summary!M382,Summary!$Q$26:$R$27,2),IF('Run Data'!C375=Summary!$P$28,VLOOKUP(Summary!M382,Summary!$Q$28:$R$29,2),VLOOKUP(Summary!M382,Summary!$Q$30:$R$32,2)))</f>
        <v>Sprig 1</v>
      </c>
      <c r="E375" t="str">
        <f>VLOOKUP(Summary!M385,Summary!$P$42:$Q$43,2)</f>
        <v>86</v>
      </c>
      <c r="F375">
        <f>IF(LEFT(A375,3)="B60",20,IF(LEFT(A375,3)="B12",30,25))+B375*0.5+INT(Summary!M388*20)</f>
        <v>539</v>
      </c>
      <c r="G375">
        <f>ROUND(IF(OR(ISERROR(FIND(Summary!$P$89,CONCATENATE(C375,D375,E375))),ISERROR(FIND(Summary!$Q$89,A375))),Summary!$R$45,IF(H375&gt;Summary!$V$3,Summary!$R$46,Summary!$R$45))*(B375+30),0)</f>
        <v>10</v>
      </c>
      <c r="H375">
        <f>IF(H374&gt;Summary!$V$4,0,H374+F374)</f>
        <v>139823</v>
      </c>
      <c r="I375" s="26">
        <f>DATE(YEAR(Summary!$V$2),MONTH(Summary!$V$2),DAY(Summary!$V$2)+INT(H375/480))</f>
        <v>43881</v>
      </c>
      <c r="J375" s="27">
        <f t="shared" si="6"/>
        <v>0.43263888888888885</v>
      </c>
    </row>
    <row r="376" spans="1:10">
      <c r="A376" t="str">
        <f>VLOOKUP(Summary!M375,Summary!$P$13:$Q$24,2)</f>
        <v>B1200-lime</v>
      </c>
      <c r="B376">
        <f>ROUND(NORMINV(Summary!M377,VLOOKUP(A376,Summary!$Q$13:$S$24,3,FALSE),VLOOKUP(A376,Summary!$Q$13:$S$24,3,FALSE)/6),-1)</f>
        <v>830</v>
      </c>
      <c r="C376" t="str">
        <f>IF(AND(H376=0,C375=Summary!$P$2),Summary!$Q$2,IF(AND(H376=0,C375=Summary!$Q$2),Summary!$R$2,C375))</f>
        <v>Neesha</v>
      </c>
      <c r="D376" t="str">
        <f>IF(C376=Summary!$P$26,VLOOKUP(Summary!M383,Summary!$Q$26:$R$27,2),IF('Run Data'!C376=Summary!$P$28,VLOOKUP(Summary!M383,Summary!$Q$28:$R$29,2),VLOOKUP(Summary!M383,Summary!$Q$30:$R$32,2)))</f>
        <v>Sprig 1</v>
      </c>
      <c r="E376" t="str">
        <f>VLOOKUP(Summary!M386,Summary!$P$42:$Q$43,2)</f>
        <v>87b</v>
      </c>
      <c r="F376">
        <f>IF(LEFT(A376,3)="B60",20,IF(LEFT(A376,3)="B12",30,25))+B376*0.5+INT(Summary!M389*20)</f>
        <v>451</v>
      </c>
      <c r="G376">
        <f>ROUND(IF(OR(ISERROR(FIND(Summary!$P$89,CONCATENATE(C376,D376,E376))),ISERROR(FIND(Summary!$Q$89,A376))),Summary!$R$45,IF(H376&gt;Summary!$V$3,Summary!$R$46,Summary!$R$45))*(B376+30),0)</f>
        <v>9</v>
      </c>
      <c r="H376">
        <f>IF(H375&gt;Summary!$V$4,0,H375+F375)</f>
        <v>140362</v>
      </c>
      <c r="I376" s="26">
        <f>DATE(YEAR(Summary!$V$2),MONTH(Summary!$V$2),DAY(Summary!$V$2)+INT(H376/480))</f>
        <v>43882</v>
      </c>
      <c r="J376" s="27">
        <f t="shared" si="6"/>
        <v>0.47361111111111115</v>
      </c>
    </row>
    <row r="377" spans="1:10">
      <c r="A377" t="str">
        <f>VLOOKUP(Summary!M376,Summary!$P$13:$Q$24,2)</f>
        <v>B1700-lime</v>
      </c>
      <c r="B377">
        <f>ROUND(NORMINV(Summary!M378,VLOOKUP(A377,Summary!$Q$13:$S$24,3,FALSE),VLOOKUP(A377,Summary!$Q$13:$S$24,3,FALSE)/6),-1)</f>
        <v>350</v>
      </c>
      <c r="C377" t="str">
        <f>IF(AND(H377=0,C376=Summary!$P$2),Summary!$Q$2,IF(AND(H377=0,C376=Summary!$Q$2),Summary!$R$2,C376))</f>
        <v>Neesha</v>
      </c>
      <c r="D377" t="str">
        <f>IF(C377=Summary!$P$26,VLOOKUP(Summary!M384,Summary!$Q$26:$R$27,2),IF('Run Data'!C377=Summary!$P$28,VLOOKUP(Summary!M384,Summary!$Q$28:$R$29,2),VLOOKUP(Summary!M384,Summary!$Q$30:$R$32,2)))</f>
        <v>Sprig 1</v>
      </c>
      <c r="E377" t="str">
        <f>VLOOKUP(Summary!M387,Summary!$P$42:$Q$43,2)</f>
        <v>86</v>
      </c>
      <c r="F377">
        <f>IF(LEFT(A377,3)="B60",20,IF(LEFT(A377,3)="B12",30,25))+B377*0.5+INT(Summary!M390*20)</f>
        <v>217</v>
      </c>
      <c r="G377">
        <f>ROUND(IF(OR(ISERROR(FIND(Summary!$P$89,CONCATENATE(C377,D377,E377))),ISERROR(FIND(Summary!$Q$89,A377))),Summary!$R$45,IF(H377&gt;Summary!$V$3,Summary!$R$46,Summary!$R$45))*(B377+30),0)</f>
        <v>46</v>
      </c>
      <c r="H377">
        <f>IF(H376&gt;Summary!$V$4,0,H376+F376)</f>
        <v>140813</v>
      </c>
      <c r="I377" s="26">
        <f>DATE(YEAR(Summary!$V$2),MONTH(Summary!$V$2),DAY(Summary!$V$2)+INT(H377/480))</f>
        <v>43883</v>
      </c>
      <c r="J377" s="27">
        <f t="shared" si="6"/>
        <v>0.45347222222222222</v>
      </c>
    </row>
    <row r="378" spans="1:10">
      <c r="A378" t="str">
        <f>VLOOKUP(Summary!M377,Summary!$P$13:$Q$24,2)</f>
        <v>B1200-lime</v>
      </c>
      <c r="B378">
        <f>ROUND(NORMINV(Summary!M379,VLOOKUP(A378,Summary!$Q$13:$S$24,3,FALSE),VLOOKUP(A378,Summary!$Q$13:$S$24,3,FALSE)/6),-1)</f>
        <v>930</v>
      </c>
      <c r="C378" t="str">
        <f>IF(AND(H378=0,C377=Summary!$P$2),Summary!$Q$2,IF(AND(H378=0,C377=Summary!$Q$2),Summary!$R$2,C377))</f>
        <v>Neesha</v>
      </c>
      <c r="D378" t="str">
        <f>IF(C378=Summary!$P$26,VLOOKUP(Summary!M385,Summary!$Q$26:$R$27,2),IF('Run Data'!C378=Summary!$P$28,VLOOKUP(Summary!M385,Summary!$Q$28:$R$29,2),VLOOKUP(Summary!M385,Summary!$Q$30:$R$32,2)))</f>
        <v>Sprig 1</v>
      </c>
      <c r="E378" t="str">
        <f>VLOOKUP(Summary!M388,Summary!$P$42:$Q$43,2)</f>
        <v>86</v>
      </c>
      <c r="F378">
        <f>IF(LEFT(A378,3)="B60",20,IF(LEFT(A378,3)="B12",30,25))+B378*0.5+INT(Summary!M391*20)</f>
        <v>498</v>
      </c>
      <c r="G378">
        <f>ROUND(IF(OR(ISERROR(FIND(Summary!$P$89,CONCATENATE(C378,D378,E378))),ISERROR(FIND(Summary!$Q$89,A378))),Summary!$R$45,IF(H378&gt;Summary!$V$3,Summary!$R$46,Summary!$R$45))*(B378+30),0)</f>
        <v>10</v>
      </c>
      <c r="H378">
        <f>IF(H377&gt;Summary!$V$4,0,H377+F377)</f>
        <v>141030</v>
      </c>
      <c r="I378" s="26">
        <f>DATE(YEAR(Summary!$V$2),MONTH(Summary!$V$2),DAY(Summary!$V$2)+INT(H378/480))</f>
        <v>43883</v>
      </c>
      <c r="J378" s="27">
        <f t="shared" si="6"/>
        <v>0.60416666666666663</v>
      </c>
    </row>
    <row r="379" spans="1:10">
      <c r="A379" t="str">
        <f>VLOOKUP(Summary!M378,Summary!$P$13:$Q$24,2)</f>
        <v>B1200-plum</v>
      </c>
      <c r="B379">
        <f>ROUND(NORMINV(Summary!M380,VLOOKUP(A379,Summary!$Q$13:$S$24,3,FALSE),VLOOKUP(A379,Summary!$Q$13:$S$24,3,FALSE)/6),-1)</f>
        <v>380</v>
      </c>
      <c r="C379" t="str">
        <f>IF(AND(H379=0,C378=Summary!$P$2),Summary!$Q$2,IF(AND(H379=0,C378=Summary!$Q$2),Summary!$R$2,C378))</f>
        <v>Neesha</v>
      </c>
      <c r="D379" t="str">
        <f>IF(C379=Summary!$P$26,VLOOKUP(Summary!M386,Summary!$Q$26:$R$27,2),IF('Run Data'!C379=Summary!$P$28,VLOOKUP(Summary!M386,Summary!$Q$28:$R$29,2),VLOOKUP(Summary!M386,Summary!$Q$30:$R$32,2)))</f>
        <v>Sprig 4</v>
      </c>
      <c r="E379" t="str">
        <f>VLOOKUP(Summary!M389,Summary!$P$42:$Q$43,2)</f>
        <v>86</v>
      </c>
      <c r="F379">
        <f>IF(LEFT(A379,3)="B60",20,IF(LEFT(A379,3)="B12",30,25))+B379*0.5+INT(Summary!M392*20)</f>
        <v>220</v>
      </c>
      <c r="G379">
        <f>ROUND(IF(OR(ISERROR(FIND(Summary!$P$89,CONCATENATE(C379,D379,E379))),ISERROR(FIND(Summary!$Q$89,A379))),Summary!$R$45,IF(H379&gt;Summary!$V$3,Summary!$R$46,Summary!$R$45))*(B379+30),0)</f>
        <v>4</v>
      </c>
      <c r="H379">
        <f>IF(H378&gt;Summary!$V$4,0,H378+F378)</f>
        <v>141528</v>
      </c>
      <c r="I379" s="26">
        <f>DATE(YEAR(Summary!$V$2),MONTH(Summary!$V$2),DAY(Summary!$V$2)+INT(H379/480))</f>
        <v>43884</v>
      </c>
      <c r="J379" s="27">
        <f t="shared" si="6"/>
        <v>0.6166666666666667</v>
      </c>
    </row>
    <row r="380" spans="1:10">
      <c r="A380" t="str">
        <f>VLOOKUP(Summary!M379,Summary!$P$13:$Q$24,2)</f>
        <v>B1700-sky</v>
      </c>
      <c r="B380">
        <f>ROUND(NORMINV(Summary!M381,VLOOKUP(A380,Summary!$Q$13:$S$24,3,FALSE),VLOOKUP(A380,Summary!$Q$13:$S$24,3,FALSE)/6),-1)</f>
        <v>620</v>
      </c>
      <c r="C380" t="str">
        <f>IF(AND(H380=0,C379=Summary!$P$2),Summary!$Q$2,IF(AND(H380=0,C379=Summary!$Q$2),Summary!$R$2,C379))</f>
        <v>Neesha</v>
      </c>
      <c r="D380" t="str">
        <f>IF(C380=Summary!$P$26,VLOOKUP(Summary!M387,Summary!$Q$26:$R$27,2),IF('Run Data'!C380=Summary!$P$28,VLOOKUP(Summary!M387,Summary!$Q$28:$R$29,2),VLOOKUP(Summary!M387,Summary!$Q$30:$R$32,2)))</f>
        <v>Sprig 1</v>
      </c>
      <c r="E380" t="str">
        <f>VLOOKUP(Summary!M390,Summary!$P$42:$Q$43,2)</f>
        <v>87b</v>
      </c>
      <c r="F380">
        <f>IF(LEFT(A380,3)="B60",20,IF(LEFT(A380,3)="B12",30,25))+B380*0.5+INT(Summary!M393*20)</f>
        <v>353</v>
      </c>
      <c r="G380">
        <f>ROUND(IF(OR(ISERROR(FIND(Summary!$P$89,CONCATENATE(C380,D380,E380))),ISERROR(FIND(Summary!$Q$89,A380))),Summary!$R$45,IF(H380&gt;Summary!$V$3,Summary!$R$46,Summary!$R$45))*(B380+30),0)</f>
        <v>7</v>
      </c>
      <c r="H380">
        <f>IF(H379&gt;Summary!$V$4,0,H379+F379)</f>
        <v>141748</v>
      </c>
      <c r="I380" s="26">
        <f>DATE(YEAR(Summary!$V$2),MONTH(Summary!$V$2),DAY(Summary!$V$2)+INT(H380/480))</f>
        <v>43885</v>
      </c>
      <c r="J380" s="27">
        <f t="shared" si="6"/>
        <v>0.43611111111111112</v>
      </c>
    </row>
    <row r="381" spans="1:10">
      <c r="A381" t="str">
        <f>VLOOKUP(Summary!M380,Summary!$P$13:$Q$24,2)</f>
        <v>B600-lime</v>
      </c>
      <c r="B381">
        <f>ROUND(NORMINV(Summary!M382,VLOOKUP(A381,Summary!$Q$13:$S$24,3,FALSE),VLOOKUP(A381,Summary!$Q$13:$S$24,3,FALSE)/6),-1)</f>
        <v>320</v>
      </c>
      <c r="C381" t="str">
        <f>IF(AND(H381=0,C380=Summary!$P$2),Summary!$Q$2,IF(AND(H381=0,C380=Summary!$Q$2),Summary!$R$2,C380))</f>
        <v>Neesha</v>
      </c>
      <c r="D381" t="str">
        <f>IF(C381=Summary!$P$26,VLOOKUP(Summary!M388,Summary!$Q$26:$R$27,2),IF('Run Data'!C381=Summary!$P$28,VLOOKUP(Summary!M388,Summary!$Q$28:$R$29,2),VLOOKUP(Summary!M388,Summary!$Q$30:$R$32,2)))</f>
        <v>Sprig 1</v>
      </c>
      <c r="E381" t="str">
        <f>VLOOKUP(Summary!M391,Summary!$P$42:$Q$43,2)</f>
        <v>86</v>
      </c>
      <c r="F381">
        <f>IF(LEFT(A381,3)="B60",20,IF(LEFT(A381,3)="B12",30,25))+B381*0.5+INT(Summary!M394*20)</f>
        <v>194</v>
      </c>
      <c r="G381">
        <f>ROUND(IF(OR(ISERROR(FIND(Summary!$P$89,CONCATENATE(C381,D381,E381))),ISERROR(FIND(Summary!$Q$89,A381))),Summary!$R$45,IF(H381&gt;Summary!$V$3,Summary!$R$46,Summary!$R$45))*(B381+30),0)</f>
        <v>4</v>
      </c>
      <c r="H381">
        <f>IF(H380&gt;Summary!$V$4,0,H380+F380)</f>
        <v>142101</v>
      </c>
      <c r="I381" s="26">
        <f>DATE(YEAR(Summary!$V$2),MONTH(Summary!$V$2),DAY(Summary!$V$2)+INT(H381/480))</f>
        <v>43886</v>
      </c>
      <c r="J381" s="27">
        <f t="shared" si="6"/>
        <v>0.34791666666666665</v>
      </c>
    </row>
    <row r="382" spans="1:10">
      <c r="A382" t="str">
        <f>VLOOKUP(Summary!M381,Summary!$P$13:$Q$24,2)</f>
        <v>B1700-sky</v>
      </c>
      <c r="B382">
        <f>ROUND(NORMINV(Summary!M383,VLOOKUP(A382,Summary!$Q$13:$S$24,3,FALSE),VLOOKUP(A382,Summary!$Q$13:$S$24,3,FALSE)/6),-1)</f>
        <v>550</v>
      </c>
      <c r="C382" t="str">
        <f>IF(AND(H382=0,C381=Summary!$P$2),Summary!$Q$2,IF(AND(H382=0,C381=Summary!$Q$2),Summary!$R$2,C381))</f>
        <v>Neesha</v>
      </c>
      <c r="D382" t="str">
        <f>IF(C382=Summary!$P$26,VLOOKUP(Summary!M389,Summary!$Q$26:$R$27,2),IF('Run Data'!C382=Summary!$P$28,VLOOKUP(Summary!M389,Summary!$Q$28:$R$29,2),VLOOKUP(Summary!M389,Summary!$Q$30:$R$32,2)))</f>
        <v>Sprig 1</v>
      </c>
      <c r="E382" t="str">
        <f>VLOOKUP(Summary!M392,Summary!$P$42:$Q$43,2)</f>
        <v>86</v>
      </c>
      <c r="F382">
        <f>IF(LEFT(A382,3)="B60",20,IF(LEFT(A382,3)="B12",30,25))+B382*0.5+INT(Summary!M395*20)</f>
        <v>314</v>
      </c>
      <c r="G382">
        <f>ROUND(IF(OR(ISERROR(FIND(Summary!$P$89,CONCATENATE(C382,D382,E382))),ISERROR(FIND(Summary!$Q$89,A382))),Summary!$R$45,IF(H382&gt;Summary!$V$3,Summary!$R$46,Summary!$R$45))*(B382+30),0)</f>
        <v>70</v>
      </c>
      <c r="H382">
        <f>IF(H381&gt;Summary!$V$4,0,H381+F381)</f>
        <v>142295</v>
      </c>
      <c r="I382" s="26">
        <f>DATE(YEAR(Summary!$V$2),MONTH(Summary!$V$2),DAY(Summary!$V$2)+INT(H382/480))</f>
        <v>43886</v>
      </c>
      <c r="J382" s="27">
        <f t="shared" si="6"/>
        <v>0.4826388888888889</v>
      </c>
    </row>
    <row r="383" spans="1:10">
      <c r="A383" t="str">
        <f>VLOOKUP(Summary!M382,Summary!$P$13:$Q$24,2)</f>
        <v>B1200-lime</v>
      </c>
      <c r="B383">
        <f>ROUND(NORMINV(Summary!M384,VLOOKUP(A383,Summary!$Q$13:$S$24,3,FALSE),VLOOKUP(A383,Summary!$Q$13:$S$24,3,FALSE)/6),-1)</f>
        <v>770</v>
      </c>
      <c r="C383" t="str">
        <f>IF(AND(H383=0,C382=Summary!$P$2),Summary!$Q$2,IF(AND(H383=0,C382=Summary!$Q$2),Summary!$R$2,C382))</f>
        <v>Neesha</v>
      </c>
      <c r="D383" t="str">
        <f>IF(C383=Summary!$P$26,VLOOKUP(Summary!M390,Summary!$Q$26:$R$27,2),IF('Run Data'!C383=Summary!$P$28,VLOOKUP(Summary!M390,Summary!$Q$28:$R$29,2),VLOOKUP(Summary!M390,Summary!$Q$30:$R$32,2)))</f>
        <v>Sprig 4</v>
      </c>
      <c r="E383" t="str">
        <f>VLOOKUP(Summary!M393,Summary!$P$42:$Q$43,2)</f>
        <v>87b</v>
      </c>
      <c r="F383">
        <f>IF(LEFT(A383,3)="B60",20,IF(LEFT(A383,3)="B12",30,25))+B383*0.5+INT(Summary!M396*20)</f>
        <v>422</v>
      </c>
      <c r="G383">
        <f>ROUND(IF(OR(ISERROR(FIND(Summary!$P$89,CONCATENATE(C383,D383,E383))),ISERROR(FIND(Summary!$Q$89,A383))),Summary!$R$45,IF(H383&gt;Summary!$V$3,Summary!$R$46,Summary!$R$45))*(B383+30),0)</f>
        <v>8</v>
      </c>
      <c r="H383">
        <f>IF(H382&gt;Summary!$V$4,0,H382+F382)</f>
        <v>142609</v>
      </c>
      <c r="I383" s="26">
        <f>DATE(YEAR(Summary!$V$2),MONTH(Summary!$V$2),DAY(Summary!$V$2)+INT(H383/480))</f>
        <v>43887</v>
      </c>
      <c r="J383" s="27">
        <f t="shared" si="6"/>
        <v>0.36736111111111108</v>
      </c>
    </row>
    <row r="384" spans="1:10">
      <c r="A384" t="str">
        <f>VLOOKUP(Summary!M383,Summary!$P$13:$Q$24,2)</f>
        <v>B1200-fire</v>
      </c>
      <c r="B384">
        <f>ROUND(NORMINV(Summary!M385,VLOOKUP(A384,Summary!$Q$13:$S$24,3,FALSE),VLOOKUP(A384,Summary!$Q$13:$S$24,3,FALSE)/6),-1)</f>
        <v>930</v>
      </c>
      <c r="C384" t="str">
        <f>IF(AND(H384=0,C383=Summary!$P$2),Summary!$Q$2,IF(AND(H384=0,C383=Summary!$Q$2),Summary!$R$2,C383))</f>
        <v>Neesha</v>
      </c>
      <c r="D384" t="str">
        <f>IF(C384=Summary!$P$26,VLOOKUP(Summary!M391,Summary!$Q$26:$R$27,2),IF('Run Data'!C384=Summary!$P$28,VLOOKUP(Summary!M391,Summary!$Q$28:$R$29,2),VLOOKUP(Summary!M391,Summary!$Q$30:$R$32,2)))</f>
        <v>Sprig 1</v>
      </c>
      <c r="E384" t="str">
        <f>VLOOKUP(Summary!M394,Summary!$P$42:$Q$43,2)</f>
        <v>86</v>
      </c>
      <c r="F384">
        <f>IF(LEFT(A384,3)="B60",20,IF(LEFT(A384,3)="B12",30,25))+B384*0.5+INT(Summary!M397*20)</f>
        <v>507</v>
      </c>
      <c r="G384">
        <f>ROUND(IF(OR(ISERROR(FIND(Summary!$P$89,CONCATENATE(C384,D384,E384))),ISERROR(FIND(Summary!$Q$89,A384))),Summary!$R$45,IF(H384&gt;Summary!$V$3,Summary!$R$46,Summary!$R$45))*(B384+30),0)</f>
        <v>10</v>
      </c>
      <c r="H384">
        <f>IF(H383&gt;Summary!$V$4,0,H383+F383)</f>
        <v>143031</v>
      </c>
      <c r="I384" s="26">
        <f>DATE(YEAR(Summary!$V$2),MONTH(Summary!$V$2),DAY(Summary!$V$2)+INT(H384/480))</f>
        <v>43887</v>
      </c>
      <c r="J384" s="27">
        <f t="shared" si="6"/>
        <v>0.66041666666666665</v>
      </c>
    </row>
    <row r="385" spans="1:10">
      <c r="A385" t="str">
        <f>VLOOKUP(Summary!M384,Summary!$P$13:$Q$24,2)</f>
        <v>B1200-sky</v>
      </c>
      <c r="B385">
        <f>ROUND(NORMINV(Summary!M386,VLOOKUP(A385,Summary!$Q$13:$S$24,3,FALSE),VLOOKUP(A385,Summary!$Q$13:$S$24,3,FALSE)/6),-1)</f>
        <v>1570</v>
      </c>
      <c r="C385" t="str">
        <f>IF(AND(H385=0,C384=Summary!$P$2),Summary!$Q$2,IF(AND(H385=0,C384=Summary!$Q$2),Summary!$R$2,C384))</f>
        <v>Neesha</v>
      </c>
      <c r="D385" t="str">
        <f>IF(C385=Summary!$P$26,VLOOKUP(Summary!M392,Summary!$Q$26:$R$27,2),IF('Run Data'!C385=Summary!$P$28,VLOOKUP(Summary!M392,Summary!$Q$28:$R$29,2),VLOOKUP(Summary!M392,Summary!$Q$30:$R$32,2)))</f>
        <v>Sprig 1</v>
      </c>
      <c r="E385" t="str">
        <f>VLOOKUP(Summary!M395,Summary!$P$42:$Q$43,2)</f>
        <v>86</v>
      </c>
      <c r="F385">
        <f>IF(LEFT(A385,3)="B60",20,IF(LEFT(A385,3)="B12",30,25))+B385*0.5+INT(Summary!M398*20)</f>
        <v>830</v>
      </c>
      <c r="G385">
        <f>ROUND(IF(OR(ISERROR(FIND(Summary!$P$89,CONCATENATE(C385,D385,E385))),ISERROR(FIND(Summary!$Q$89,A385))),Summary!$R$45,IF(H385&gt;Summary!$V$3,Summary!$R$46,Summary!$R$45))*(B385+30),0)</f>
        <v>16</v>
      </c>
      <c r="H385">
        <f>IF(H384&gt;Summary!$V$4,0,H384+F384)</f>
        <v>143538</v>
      </c>
      <c r="I385" s="26">
        <f>DATE(YEAR(Summary!$V$2),MONTH(Summary!$V$2),DAY(Summary!$V$2)+INT(H385/480))</f>
        <v>43889</v>
      </c>
      <c r="J385" s="27">
        <f t="shared" si="6"/>
        <v>0.34583333333333338</v>
      </c>
    </row>
    <row r="386" spans="1:10">
      <c r="A386" t="str">
        <f>VLOOKUP(Summary!M385,Summary!$P$13:$Q$24,2)</f>
        <v>B600-sky</v>
      </c>
      <c r="B386">
        <f>ROUND(NORMINV(Summary!M387,VLOOKUP(A386,Summary!$Q$13:$S$24,3,FALSE),VLOOKUP(A386,Summary!$Q$13:$S$24,3,FALSE)/6),-1)</f>
        <v>460</v>
      </c>
      <c r="C386" t="str">
        <f>IF(AND(H386=0,C385=Summary!$P$2),Summary!$Q$2,IF(AND(H386=0,C385=Summary!$Q$2),Summary!$R$2,C385))</f>
        <v>Neesha</v>
      </c>
      <c r="D386" t="str">
        <f>IF(C386=Summary!$P$26,VLOOKUP(Summary!M393,Summary!$Q$26:$R$27,2),IF('Run Data'!C386=Summary!$P$28,VLOOKUP(Summary!M393,Summary!$Q$28:$R$29,2),VLOOKUP(Summary!M393,Summary!$Q$30:$R$32,2)))</f>
        <v>Sprig 4</v>
      </c>
      <c r="E386" t="str">
        <f>VLOOKUP(Summary!M396,Summary!$P$42:$Q$43,2)</f>
        <v>86</v>
      </c>
      <c r="F386">
        <f>IF(LEFT(A386,3)="B60",20,IF(LEFT(A386,3)="B12",30,25))+B386*0.5+INT(Summary!M399*20)</f>
        <v>251</v>
      </c>
      <c r="G386">
        <f>ROUND(IF(OR(ISERROR(FIND(Summary!$P$89,CONCATENATE(C386,D386,E386))),ISERROR(FIND(Summary!$Q$89,A386))),Summary!$R$45,IF(H386&gt;Summary!$V$3,Summary!$R$46,Summary!$R$45))*(B386+30),0)</f>
        <v>5</v>
      </c>
      <c r="H386">
        <f>IF(H385&gt;Summary!$V$4,0,H385+F385)</f>
        <v>144368</v>
      </c>
      <c r="I386" s="26">
        <f>DATE(YEAR(Summary!$V$2),MONTH(Summary!$V$2),DAY(Summary!$V$2)+INT(H386/480))</f>
        <v>43890</v>
      </c>
      <c r="J386" s="27">
        <f t="shared" si="6"/>
        <v>0.58888888888888891</v>
      </c>
    </row>
    <row r="387" spans="1:10">
      <c r="A387" t="str">
        <f>VLOOKUP(Summary!M386,Summary!$P$13:$Q$24,2)</f>
        <v>B1700-lime</v>
      </c>
      <c r="B387">
        <f>ROUND(NORMINV(Summary!M388,VLOOKUP(A387,Summary!$Q$13:$S$24,3,FALSE),VLOOKUP(A387,Summary!$Q$13:$S$24,3,FALSE)/6),-1)</f>
        <v>440</v>
      </c>
      <c r="C387" t="str">
        <f>IF(AND(H387=0,C386=Summary!$P$2),Summary!$Q$2,IF(AND(H387=0,C386=Summary!$Q$2),Summary!$R$2,C386))</f>
        <v>Neesha</v>
      </c>
      <c r="D387" t="str">
        <f>IF(C387=Summary!$P$26,VLOOKUP(Summary!M394,Summary!$Q$26:$R$27,2),IF('Run Data'!C387=Summary!$P$28,VLOOKUP(Summary!M394,Summary!$Q$28:$R$29,2),VLOOKUP(Summary!M394,Summary!$Q$30:$R$32,2)))</f>
        <v>Sprig 1</v>
      </c>
      <c r="E387" t="str">
        <f>VLOOKUP(Summary!M397,Summary!$P$42:$Q$43,2)</f>
        <v>86</v>
      </c>
      <c r="F387">
        <f>IF(LEFT(A387,3)="B60",20,IF(LEFT(A387,3)="B12",30,25))+B387*0.5+INT(Summary!M400*20)</f>
        <v>261</v>
      </c>
      <c r="G387">
        <f>ROUND(IF(OR(ISERROR(FIND(Summary!$P$89,CONCATENATE(C387,D387,E387))),ISERROR(FIND(Summary!$Q$89,A387))),Summary!$R$45,IF(H387&gt;Summary!$V$3,Summary!$R$46,Summary!$R$45))*(B387+30),0)</f>
        <v>56</v>
      </c>
      <c r="H387">
        <f>IF(H386&gt;Summary!$V$4,0,H386+F386)</f>
        <v>144619</v>
      </c>
      <c r="I387" s="26">
        <f>DATE(YEAR(Summary!$V$2),MONTH(Summary!$V$2),DAY(Summary!$V$2)+INT(H387/480))</f>
        <v>43891</v>
      </c>
      <c r="J387" s="27">
        <f t="shared" si="6"/>
        <v>0.42986111111111108</v>
      </c>
    </row>
    <row r="388" spans="1:10">
      <c r="A388" t="str">
        <f>VLOOKUP(Summary!M387,Summary!$P$13:$Q$24,2)</f>
        <v>B1200-plum</v>
      </c>
      <c r="B388">
        <f>ROUND(NORMINV(Summary!M389,VLOOKUP(A388,Summary!$Q$13:$S$24,3,FALSE),VLOOKUP(A388,Summary!$Q$13:$S$24,3,FALSE)/6),-1)</f>
        <v>410</v>
      </c>
      <c r="C388" t="str">
        <f>IF(AND(H388=0,C387=Summary!$P$2),Summary!$Q$2,IF(AND(H388=0,C387=Summary!$Q$2),Summary!$R$2,C387))</f>
        <v>Neesha</v>
      </c>
      <c r="D388" t="str">
        <f>IF(C388=Summary!$P$26,VLOOKUP(Summary!M395,Summary!$Q$26:$R$27,2),IF('Run Data'!C388=Summary!$P$28,VLOOKUP(Summary!M395,Summary!$Q$28:$R$29,2),VLOOKUP(Summary!M395,Summary!$Q$30:$R$32,2)))</f>
        <v>Sprig 1</v>
      </c>
      <c r="E388" t="str">
        <f>VLOOKUP(Summary!M398,Summary!$P$42:$Q$43,2)</f>
        <v>86</v>
      </c>
      <c r="F388">
        <f>IF(LEFT(A388,3)="B60",20,IF(LEFT(A388,3)="B12",30,25))+B388*0.5+INT(Summary!M401*20)</f>
        <v>245</v>
      </c>
      <c r="G388">
        <f>ROUND(IF(OR(ISERROR(FIND(Summary!$P$89,CONCATENATE(C388,D388,E388))),ISERROR(FIND(Summary!$Q$89,A388))),Summary!$R$45,IF(H388&gt;Summary!$V$3,Summary!$R$46,Summary!$R$45))*(B388+30),0)</f>
        <v>4</v>
      </c>
      <c r="H388">
        <f>IF(H387&gt;Summary!$V$4,0,H387+F387)</f>
        <v>144880</v>
      </c>
      <c r="I388" s="26">
        <f>DATE(YEAR(Summary!$V$2),MONTH(Summary!$V$2),DAY(Summary!$V$2)+INT(H388/480))</f>
        <v>43891</v>
      </c>
      <c r="J388" s="27">
        <f t="shared" si="6"/>
        <v>0.61111111111111105</v>
      </c>
    </row>
    <row r="389" spans="1:10">
      <c r="A389" t="str">
        <f>VLOOKUP(Summary!M388,Summary!$P$13:$Q$24,2)</f>
        <v>B1700-plum</v>
      </c>
      <c r="B389">
        <f>ROUND(NORMINV(Summary!M390,VLOOKUP(A389,Summary!$Q$13:$S$24,3,FALSE),VLOOKUP(A389,Summary!$Q$13:$S$24,3,FALSE)/6),-1)</f>
        <v>350</v>
      </c>
      <c r="C389" t="str">
        <f>IF(AND(H389=0,C388=Summary!$P$2),Summary!$Q$2,IF(AND(H389=0,C388=Summary!$Q$2),Summary!$R$2,C388))</f>
        <v>Neesha</v>
      </c>
      <c r="D389" t="str">
        <f>IF(C389=Summary!$P$26,VLOOKUP(Summary!M396,Summary!$Q$26:$R$27,2),IF('Run Data'!C389=Summary!$P$28,VLOOKUP(Summary!M396,Summary!$Q$28:$R$29,2),VLOOKUP(Summary!M396,Summary!$Q$30:$R$32,2)))</f>
        <v>Sprig 1</v>
      </c>
      <c r="E389" t="str">
        <f>VLOOKUP(Summary!M399,Summary!$P$42:$Q$43,2)</f>
        <v>86</v>
      </c>
      <c r="F389">
        <f>IF(LEFT(A389,3)="B60",20,IF(LEFT(A389,3)="B12",30,25))+B389*0.5+INT(Summary!M402*20)</f>
        <v>200</v>
      </c>
      <c r="G389">
        <f>ROUND(IF(OR(ISERROR(FIND(Summary!$P$89,CONCATENATE(C389,D389,E389))),ISERROR(FIND(Summary!$Q$89,A389))),Summary!$R$45,IF(H389&gt;Summary!$V$3,Summary!$R$46,Summary!$R$45))*(B389+30),0)</f>
        <v>46</v>
      </c>
      <c r="H389">
        <f>IF(H388&gt;Summary!$V$4,0,H388+F388)</f>
        <v>145125</v>
      </c>
      <c r="I389" s="26">
        <f>DATE(YEAR(Summary!$V$2),MONTH(Summary!$V$2),DAY(Summary!$V$2)+INT(H389/480))</f>
        <v>43892</v>
      </c>
      <c r="J389" s="27">
        <f t="shared" si="6"/>
        <v>0.44791666666666669</v>
      </c>
    </row>
    <row r="390" spans="1:10">
      <c r="A390" t="str">
        <f>VLOOKUP(Summary!M389,Summary!$P$13:$Q$24,2)</f>
        <v>B1200-plum</v>
      </c>
      <c r="B390">
        <f>ROUND(NORMINV(Summary!M391,VLOOKUP(A390,Summary!$Q$13:$S$24,3,FALSE),VLOOKUP(A390,Summary!$Q$13:$S$24,3,FALSE)/6),-1)</f>
        <v>380</v>
      </c>
      <c r="C390" t="str">
        <f>IF(AND(H390=0,C389=Summary!$P$2),Summary!$Q$2,IF(AND(H390=0,C389=Summary!$Q$2),Summary!$R$2,C389))</f>
        <v>Neesha</v>
      </c>
      <c r="D390" t="str">
        <f>IF(C390=Summary!$P$26,VLOOKUP(Summary!M397,Summary!$Q$26:$R$27,2),IF('Run Data'!C390=Summary!$P$28,VLOOKUP(Summary!M397,Summary!$Q$28:$R$29,2),VLOOKUP(Summary!M397,Summary!$Q$30:$R$32,2)))</f>
        <v>Sprig 1</v>
      </c>
      <c r="E390" t="str">
        <f>VLOOKUP(Summary!M400,Summary!$P$42:$Q$43,2)</f>
        <v>86</v>
      </c>
      <c r="F390">
        <f>IF(LEFT(A390,3)="B60",20,IF(LEFT(A390,3)="B12",30,25))+B390*0.5+INT(Summary!M403*20)</f>
        <v>228</v>
      </c>
      <c r="G390">
        <f>ROUND(IF(OR(ISERROR(FIND(Summary!$P$89,CONCATENATE(C390,D390,E390))),ISERROR(FIND(Summary!$Q$89,A390))),Summary!$R$45,IF(H390&gt;Summary!$V$3,Summary!$R$46,Summary!$R$45))*(B390+30),0)</f>
        <v>4</v>
      </c>
      <c r="H390">
        <f>IF(H389&gt;Summary!$V$4,0,H389+F389)</f>
        <v>145325</v>
      </c>
      <c r="I390" s="26">
        <f>DATE(YEAR(Summary!$V$2),MONTH(Summary!$V$2),DAY(Summary!$V$2)+INT(H390/480))</f>
        <v>43892</v>
      </c>
      <c r="J390" s="27">
        <f t="shared" si="6"/>
        <v>0.58680555555555558</v>
      </c>
    </row>
    <row r="391" spans="1:10">
      <c r="A391" t="str">
        <f>VLOOKUP(Summary!M390,Summary!$P$13:$Q$24,2)</f>
        <v>B1700-fire</v>
      </c>
      <c r="B391">
        <f>ROUND(NORMINV(Summary!M392,VLOOKUP(A391,Summary!$Q$13:$S$24,3,FALSE),VLOOKUP(A391,Summary!$Q$13:$S$24,3,FALSE)/6),-1)</f>
        <v>520</v>
      </c>
      <c r="C391" t="str">
        <f>IF(AND(H391=0,C390=Summary!$P$2),Summary!$Q$2,IF(AND(H391=0,C390=Summary!$Q$2),Summary!$R$2,C390))</f>
        <v>Neesha</v>
      </c>
      <c r="D391" t="str">
        <f>IF(C391=Summary!$P$26,VLOOKUP(Summary!M398,Summary!$Q$26:$R$27,2),IF('Run Data'!C391=Summary!$P$28,VLOOKUP(Summary!M398,Summary!$Q$28:$R$29,2),VLOOKUP(Summary!M398,Summary!$Q$30:$R$32,2)))</f>
        <v>Sprig 4</v>
      </c>
      <c r="E391" t="str">
        <f>VLOOKUP(Summary!M401,Summary!$P$42:$Q$43,2)</f>
        <v>86</v>
      </c>
      <c r="F391">
        <f>IF(LEFT(A391,3)="B60",20,IF(LEFT(A391,3)="B12",30,25))+B391*0.5+INT(Summary!M404*20)</f>
        <v>291</v>
      </c>
      <c r="G391">
        <f>ROUND(IF(OR(ISERROR(FIND(Summary!$P$89,CONCATENATE(C391,D391,E391))),ISERROR(FIND(Summary!$Q$89,A391))),Summary!$R$45,IF(H391&gt;Summary!$V$3,Summary!$R$46,Summary!$R$45))*(B391+30),0)</f>
        <v>66</v>
      </c>
      <c r="H391">
        <f>IF(H390&gt;Summary!$V$4,0,H390+F390)</f>
        <v>145553</v>
      </c>
      <c r="I391" s="26">
        <f>DATE(YEAR(Summary!$V$2),MONTH(Summary!$V$2),DAY(Summary!$V$2)+INT(H391/480))</f>
        <v>43893</v>
      </c>
      <c r="J391" s="27">
        <f t="shared" si="6"/>
        <v>0.41180555555555554</v>
      </c>
    </row>
    <row r="392" spans="1:10">
      <c r="A392" t="str">
        <f>VLOOKUP(Summary!M391,Summary!$P$13:$Q$24,2)</f>
        <v>B600-fire</v>
      </c>
      <c r="B392">
        <f>ROUND(NORMINV(Summary!M393,VLOOKUP(A392,Summary!$Q$13:$S$24,3,FALSE),VLOOKUP(A392,Summary!$Q$13:$S$24,3,FALSE)/6),-1)</f>
        <v>500</v>
      </c>
      <c r="C392" t="str">
        <f>IF(AND(H392=0,C391=Summary!$P$2),Summary!$Q$2,IF(AND(H392=0,C391=Summary!$Q$2),Summary!$R$2,C391))</f>
        <v>Neesha</v>
      </c>
      <c r="D392" t="str">
        <f>IF(C392=Summary!$P$26,VLOOKUP(Summary!M399,Summary!$Q$26:$R$27,2),IF('Run Data'!C392=Summary!$P$28,VLOOKUP(Summary!M399,Summary!$Q$28:$R$29,2),VLOOKUP(Summary!M399,Summary!$Q$30:$R$32,2)))</f>
        <v>Sprig 1</v>
      </c>
      <c r="E392" t="str">
        <f>VLOOKUP(Summary!M402,Summary!$P$42:$Q$43,2)</f>
        <v>86</v>
      </c>
      <c r="F392">
        <f>IF(LEFT(A392,3)="B60",20,IF(LEFT(A392,3)="B12",30,25))+B392*0.5+INT(Summary!M405*20)</f>
        <v>278</v>
      </c>
      <c r="G392">
        <f>ROUND(IF(OR(ISERROR(FIND(Summary!$P$89,CONCATENATE(C392,D392,E392))),ISERROR(FIND(Summary!$Q$89,A392))),Summary!$R$45,IF(H392&gt;Summary!$V$3,Summary!$R$46,Summary!$R$45))*(B392+30),0)</f>
        <v>5</v>
      </c>
      <c r="H392">
        <f>IF(H391&gt;Summary!$V$4,0,H391+F391)</f>
        <v>145844</v>
      </c>
      <c r="I392" s="26">
        <f>DATE(YEAR(Summary!$V$2),MONTH(Summary!$V$2),DAY(Summary!$V$2)+INT(H392/480))</f>
        <v>43893</v>
      </c>
      <c r="J392" s="27">
        <f t="shared" si="6"/>
        <v>0.61388888888888882</v>
      </c>
    </row>
    <row r="393" spans="1:10">
      <c r="A393" t="str">
        <f>VLOOKUP(Summary!M392,Summary!$P$13:$Q$24,2)</f>
        <v>B600-plum</v>
      </c>
      <c r="B393">
        <f>ROUND(NORMINV(Summary!M394,VLOOKUP(A393,Summary!$Q$13:$S$24,3,FALSE),VLOOKUP(A393,Summary!$Q$13:$S$24,3,FALSE)/6),-1)</f>
        <v>220</v>
      </c>
      <c r="C393" t="str">
        <f>IF(AND(H393=0,C392=Summary!$P$2),Summary!$Q$2,IF(AND(H393=0,C392=Summary!$Q$2),Summary!$R$2,C392))</f>
        <v>Neesha</v>
      </c>
      <c r="D393" t="str">
        <f>IF(C393=Summary!$P$26,VLOOKUP(Summary!M400,Summary!$Q$26:$R$27,2),IF('Run Data'!C393=Summary!$P$28,VLOOKUP(Summary!M400,Summary!$Q$28:$R$29,2),VLOOKUP(Summary!M400,Summary!$Q$30:$R$32,2)))</f>
        <v>Sprig 4</v>
      </c>
      <c r="E393" t="str">
        <f>VLOOKUP(Summary!M403,Summary!$P$42:$Q$43,2)</f>
        <v>86</v>
      </c>
      <c r="F393">
        <f>IF(LEFT(A393,3)="B60",20,IF(LEFT(A393,3)="B12",30,25))+B393*0.5+INT(Summary!M406*20)</f>
        <v>133</v>
      </c>
      <c r="G393">
        <f>ROUND(IF(OR(ISERROR(FIND(Summary!$P$89,CONCATENATE(C393,D393,E393))),ISERROR(FIND(Summary!$Q$89,A393))),Summary!$R$45,IF(H393&gt;Summary!$V$3,Summary!$R$46,Summary!$R$45))*(B393+30),0)</f>
        <v>3</v>
      </c>
      <c r="H393">
        <f>IF(H392&gt;Summary!$V$4,0,H392+F392)</f>
        <v>146122</v>
      </c>
      <c r="I393" s="26">
        <f>DATE(YEAR(Summary!$V$2),MONTH(Summary!$V$2),DAY(Summary!$V$2)+INT(H393/480))</f>
        <v>43894</v>
      </c>
      <c r="J393" s="27">
        <f t="shared" si="6"/>
        <v>0.47361111111111115</v>
      </c>
    </row>
    <row r="394" spans="1:10">
      <c r="A394" t="str">
        <f>VLOOKUP(Summary!M393,Summary!$P$13:$Q$24,2)</f>
        <v>B1700-lime</v>
      </c>
      <c r="B394">
        <f>ROUND(NORMINV(Summary!M395,VLOOKUP(A394,Summary!$Q$13:$S$24,3,FALSE),VLOOKUP(A394,Summary!$Q$13:$S$24,3,FALSE)/6),-1)</f>
        <v>440</v>
      </c>
      <c r="C394" t="str">
        <f>IF(AND(H394=0,C393=Summary!$P$2),Summary!$Q$2,IF(AND(H394=0,C393=Summary!$Q$2),Summary!$R$2,C393))</f>
        <v>Neesha</v>
      </c>
      <c r="D394" t="str">
        <f>IF(C394=Summary!$P$26,VLOOKUP(Summary!M401,Summary!$Q$26:$R$27,2),IF('Run Data'!C394=Summary!$P$28,VLOOKUP(Summary!M401,Summary!$Q$28:$R$29,2),VLOOKUP(Summary!M401,Summary!$Q$30:$R$32,2)))</f>
        <v>Sprig 1</v>
      </c>
      <c r="E394" t="str">
        <f>VLOOKUP(Summary!M404,Summary!$P$42:$Q$43,2)</f>
        <v>86</v>
      </c>
      <c r="F394">
        <f>IF(LEFT(A394,3)="B60",20,IF(LEFT(A394,3)="B12",30,25))+B394*0.5+INT(Summary!M407*20)</f>
        <v>247</v>
      </c>
      <c r="G394">
        <f>ROUND(IF(OR(ISERROR(FIND(Summary!$P$89,CONCATENATE(C394,D394,E394))),ISERROR(FIND(Summary!$Q$89,A394))),Summary!$R$45,IF(H394&gt;Summary!$V$3,Summary!$R$46,Summary!$R$45))*(B394+30),0)</f>
        <v>56</v>
      </c>
      <c r="H394">
        <f>IF(H393&gt;Summary!$V$4,0,H393+F393)</f>
        <v>146255</v>
      </c>
      <c r="I394" s="26">
        <f>DATE(YEAR(Summary!$V$2),MONTH(Summary!$V$2),DAY(Summary!$V$2)+INT(H394/480))</f>
        <v>43894</v>
      </c>
      <c r="J394" s="27">
        <f t="shared" si="6"/>
        <v>0.56597222222222221</v>
      </c>
    </row>
    <row r="395" spans="1:10">
      <c r="A395" t="str">
        <f>VLOOKUP(Summary!M394,Summary!$P$13:$Q$24,2)</f>
        <v>B1700-plum</v>
      </c>
      <c r="B395">
        <f>ROUND(NORMINV(Summary!M396,VLOOKUP(A395,Summary!$Q$13:$S$24,3,FALSE),VLOOKUP(A395,Summary!$Q$13:$S$24,3,FALSE)/6),-1)</f>
        <v>290</v>
      </c>
      <c r="C395" t="str">
        <f>IF(AND(H395=0,C394=Summary!$P$2),Summary!$Q$2,IF(AND(H395=0,C394=Summary!$Q$2),Summary!$R$2,C394))</f>
        <v>Neesha</v>
      </c>
      <c r="D395" t="str">
        <f>IF(C395=Summary!$P$26,VLOOKUP(Summary!M402,Summary!$Q$26:$R$27,2),IF('Run Data'!C395=Summary!$P$28,VLOOKUP(Summary!M402,Summary!$Q$28:$R$29,2),VLOOKUP(Summary!M402,Summary!$Q$30:$R$32,2)))</f>
        <v>Sprig 1</v>
      </c>
      <c r="E395" t="str">
        <f>VLOOKUP(Summary!M405,Summary!$P$42:$Q$43,2)</f>
        <v>86</v>
      </c>
      <c r="F395">
        <f>IF(LEFT(A395,3)="B60",20,IF(LEFT(A395,3)="B12",30,25))+B395*0.5+INT(Summary!M408*20)</f>
        <v>173</v>
      </c>
      <c r="G395">
        <f>ROUND(IF(OR(ISERROR(FIND(Summary!$P$89,CONCATENATE(C395,D395,E395))),ISERROR(FIND(Summary!$Q$89,A395))),Summary!$R$45,IF(H395&gt;Summary!$V$3,Summary!$R$46,Summary!$R$45))*(B395+30),0)</f>
        <v>38</v>
      </c>
      <c r="H395">
        <f>IF(H394&gt;Summary!$V$4,0,H394+F394)</f>
        <v>146502</v>
      </c>
      <c r="I395" s="26">
        <f>DATE(YEAR(Summary!$V$2),MONTH(Summary!$V$2),DAY(Summary!$V$2)+INT(H395/480))</f>
        <v>43895</v>
      </c>
      <c r="J395" s="27">
        <f t="shared" si="6"/>
        <v>0.40416666666666662</v>
      </c>
    </row>
    <row r="396" spans="1:10">
      <c r="A396" t="str">
        <f>VLOOKUP(Summary!M395,Summary!$P$13:$Q$24,2)</f>
        <v>B1700-plum</v>
      </c>
      <c r="B396">
        <f>ROUND(NORMINV(Summary!M397,VLOOKUP(A396,Summary!$Q$13:$S$24,3,FALSE),VLOOKUP(A396,Summary!$Q$13:$S$24,3,FALSE)/6),-1)</f>
        <v>320</v>
      </c>
      <c r="C396" t="str">
        <f>IF(AND(H396=0,C395=Summary!$P$2),Summary!$Q$2,IF(AND(H396=0,C395=Summary!$Q$2),Summary!$R$2,C395))</f>
        <v>Neesha</v>
      </c>
      <c r="D396" t="str">
        <f>IF(C396=Summary!$P$26,VLOOKUP(Summary!M403,Summary!$Q$26:$R$27,2),IF('Run Data'!C396=Summary!$P$28,VLOOKUP(Summary!M403,Summary!$Q$28:$R$29,2),VLOOKUP(Summary!M403,Summary!$Q$30:$R$32,2)))</f>
        <v>Sprig 1</v>
      </c>
      <c r="E396" t="str">
        <f>VLOOKUP(Summary!M406,Summary!$P$42:$Q$43,2)</f>
        <v>86</v>
      </c>
      <c r="F396">
        <f>IF(LEFT(A396,3)="B60",20,IF(LEFT(A396,3)="B12",30,25))+B396*0.5+INT(Summary!M409*20)</f>
        <v>187</v>
      </c>
      <c r="G396">
        <f>ROUND(IF(OR(ISERROR(FIND(Summary!$P$89,CONCATENATE(C396,D396,E396))),ISERROR(FIND(Summary!$Q$89,A396))),Summary!$R$45,IF(H396&gt;Summary!$V$3,Summary!$R$46,Summary!$R$45))*(B396+30),0)</f>
        <v>42</v>
      </c>
      <c r="H396">
        <f>IF(H395&gt;Summary!$V$4,0,H395+F395)</f>
        <v>146675</v>
      </c>
      <c r="I396" s="26">
        <f>DATE(YEAR(Summary!$V$2),MONTH(Summary!$V$2),DAY(Summary!$V$2)+INT(H396/480))</f>
        <v>43895</v>
      </c>
      <c r="J396" s="27">
        <f t="shared" si="6"/>
        <v>0.52430555555555558</v>
      </c>
    </row>
    <row r="397" spans="1:10">
      <c r="A397" t="str">
        <f>VLOOKUP(Summary!M396,Summary!$P$13:$Q$24,2)</f>
        <v>B1200-sky</v>
      </c>
      <c r="B397">
        <f>ROUND(NORMINV(Summary!M398,VLOOKUP(A397,Summary!$Q$13:$S$24,3,FALSE),VLOOKUP(A397,Summary!$Q$13:$S$24,3,FALSE)/6),-1)</f>
        <v>1350</v>
      </c>
      <c r="C397" t="str">
        <f>IF(AND(H397=0,C396=Summary!$P$2),Summary!$Q$2,IF(AND(H397=0,C396=Summary!$Q$2),Summary!$R$2,C396))</f>
        <v>Neesha</v>
      </c>
      <c r="D397" t="str">
        <f>IF(C397=Summary!$P$26,VLOOKUP(Summary!M404,Summary!$Q$26:$R$27,2),IF('Run Data'!C397=Summary!$P$28,VLOOKUP(Summary!M404,Summary!$Q$28:$R$29,2),VLOOKUP(Summary!M404,Summary!$Q$30:$R$32,2)))</f>
        <v>Sprig 1</v>
      </c>
      <c r="E397" t="str">
        <f>VLOOKUP(Summary!M407,Summary!$P$42:$Q$43,2)</f>
        <v>86</v>
      </c>
      <c r="F397">
        <f>IF(LEFT(A397,3)="B60",20,IF(LEFT(A397,3)="B12",30,25))+B397*0.5+INT(Summary!M410*20)</f>
        <v>708</v>
      </c>
      <c r="G397">
        <f>ROUND(IF(OR(ISERROR(FIND(Summary!$P$89,CONCATENATE(C397,D397,E397))),ISERROR(FIND(Summary!$Q$89,A397))),Summary!$R$45,IF(H397&gt;Summary!$V$3,Summary!$R$46,Summary!$R$45))*(B397+30),0)</f>
        <v>14</v>
      </c>
      <c r="H397">
        <f>IF(H396&gt;Summary!$V$4,0,H396+F396)</f>
        <v>146862</v>
      </c>
      <c r="I397" s="26">
        <f>DATE(YEAR(Summary!$V$2),MONTH(Summary!$V$2),DAY(Summary!$V$2)+INT(H397/480))</f>
        <v>43895</v>
      </c>
      <c r="J397" s="27">
        <f t="shared" si="6"/>
        <v>0.65416666666666667</v>
      </c>
    </row>
    <row r="398" spans="1:10">
      <c r="A398" t="str">
        <f>VLOOKUP(Summary!M397,Summary!$P$13:$Q$24,2)</f>
        <v>B1200-lime</v>
      </c>
      <c r="B398">
        <f>ROUND(NORMINV(Summary!M399,VLOOKUP(A398,Summary!$Q$13:$S$24,3,FALSE),VLOOKUP(A398,Summary!$Q$13:$S$24,3,FALSE)/6),-1)</f>
        <v>620</v>
      </c>
      <c r="C398" t="str">
        <f>IF(AND(H398=0,C397=Summary!$P$2),Summary!$Q$2,IF(AND(H398=0,C397=Summary!$Q$2),Summary!$R$2,C397))</f>
        <v>Neesha</v>
      </c>
      <c r="D398" t="str">
        <f>IF(C398=Summary!$P$26,VLOOKUP(Summary!M405,Summary!$Q$26:$R$27,2),IF('Run Data'!C398=Summary!$P$28,VLOOKUP(Summary!M405,Summary!$Q$28:$R$29,2),VLOOKUP(Summary!M405,Summary!$Q$30:$R$32,2)))</f>
        <v>Sprig 1</v>
      </c>
      <c r="E398" t="str">
        <f>VLOOKUP(Summary!M408,Summary!$P$42:$Q$43,2)</f>
        <v>86</v>
      </c>
      <c r="F398">
        <f>IF(LEFT(A398,3)="B60",20,IF(LEFT(A398,3)="B12",30,25))+B398*0.5+INT(Summary!M411*20)</f>
        <v>354</v>
      </c>
      <c r="G398">
        <f>ROUND(IF(OR(ISERROR(FIND(Summary!$P$89,CONCATENATE(C398,D398,E398))),ISERROR(FIND(Summary!$Q$89,A398))),Summary!$R$45,IF(H398&gt;Summary!$V$3,Summary!$R$46,Summary!$R$45))*(B398+30),0)</f>
        <v>7</v>
      </c>
      <c r="H398">
        <f>IF(H397&gt;Summary!$V$4,0,H397+F397)</f>
        <v>147570</v>
      </c>
      <c r="I398" s="26">
        <f>DATE(YEAR(Summary!$V$2),MONTH(Summary!$V$2),DAY(Summary!$V$2)+INT(H398/480))</f>
        <v>43897</v>
      </c>
      <c r="J398" s="27">
        <f t="shared" si="6"/>
        <v>0.47916666666666669</v>
      </c>
    </row>
    <row r="399" spans="1:10">
      <c r="A399" t="str">
        <f>VLOOKUP(Summary!M398,Summary!$P$13:$Q$24,2)</f>
        <v>B1700-plum</v>
      </c>
      <c r="B399">
        <f>ROUND(NORMINV(Summary!M400,VLOOKUP(A399,Summary!$Q$13:$S$24,3,FALSE),VLOOKUP(A399,Summary!$Q$13:$S$24,3,FALSE)/6),-1)</f>
        <v>340</v>
      </c>
      <c r="C399" t="str">
        <f>IF(AND(H399=0,C398=Summary!$P$2),Summary!$Q$2,IF(AND(H399=0,C398=Summary!$Q$2),Summary!$R$2,C398))</f>
        <v>Neesha</v>
      </c>
      <c r="D399" t="str">
        <f>IF(C399=Summary!$P$26,VLOOKUP(Summary!M406,Summary!$Q$26:$R$27,2),IF('Run Data'!C399=Summary!$P$28,VLOOKUP(Summary!M406,Summary!$Q$28:$R$29,2),VLOOKUP(Summary!M406,Summary!$Q$30:$R$32,2)))</f>
        <v>Sprig 1</v>
      </c>
      <c r="E399" t="str">
        <f>VLOOKUP(Summary!M409,Summary!$P$42:$Q$43,2)</f>
        <v>86</v>
      </c>
      <c r="F399">
        <f>IF(LEFT(A399,3)="B60",20,IF(LEFT(A399,3)="B12",30,25))+B399*0.5+INT(Summary!M412*20)</f>
        <v>209</v>
      </c>
      <c r="G399">
        <f>ROUND(IF(OR(ISERROR(FIND(Summary!$P$89,CONCATENATE(C399,D399,E399))),ISERROR(FIND(Summary!$Q$89,A399))),Summary!$R$45,IF(H399&gt;Summary!$V$3,Summary!$R$46,Summary!$R$45))*(B399+30),0)</f>
        <v>44</v>
      </c>
      <c r="H399">
        <f>IF(H398&gt;Summary!$V$4,0,H398+F398)</f>
        <v>147924</v>
      </c>
      <c r="I399" s="26">
        <f>DATE(YEAR(Summary!$V$2),MONTH(Summary!$V$2),DAY(Summary!$V$2)+INT(H399/480))</f>
        <v>43898</v>
      </c>
      <c r="J399" s="27">
        <f t="shared" si="6"/>
        <v>0.39166666666666666</v>
      </c>
    </row>
    <row r="400" spans="1:10">
      <c r="A400" t="str">
        <f>VLOOKUP(Summary!M399,Summary!$P$13:$Q$24,2)</f>
        <v>B600-sky</v>
      </c>
      <c r="B400">
        <f>ROUND(NORMINV(Summary!M401,VLOOKUP(A400,Summary!$Q$13:$S$24,3,FALSE),VLOOKUP(A400,Summary!$Q$13:$S$24,3,FALSE)/6),-1)</f>
        <v>500</v>
      </c>
      <c r="C400" t="str">
        <f>IF(AND(H400=0,C399=Summary!$P$2),Summary!$Q$2,IF(AND(H400=0,C399=Summary!$Q$2),Summary!$R$2,C399))</f>
        <v>Neesha</v>
      </c>
      <c r="D400" t="str">
        <f>IF(C400=Summary!$P$26,VLOOKUP(Summary!M407,Summary!$Q$26:$R$27,2),IF('Run Data'!C400=Summary!$P$28,VLOOKUP(Summary!M407,Summary!$Q$28:$R$29,2),VLOOKUP(Summary!M407,Summary!$Q$30:$R$32,2)))</f>
        <v>Sprig 1</v>
      </c>
      <c r="E400" t="str">
        <f>VLOOKUP(Summary!M410,Summary!$P$42:$Q$43,2)</f>
        <v>86</v>
      </c>
      <c r="F400">
        <f>IF(LEFT(A400,3)="B60",20,IF(LEFT(A400,3)="B12",30,25))+B400*0.5+INT(Summary!M413*20)</f>
        <v>273</v>
      </c>
      <c r="G400">
        <f>ROUND(IF(OR(ISERROR(FIND(Summary!$P$89,CONCATENATE(C400,D400,E400))),ISERROR(FIND(Summary!$Q$89,A400))),Summary!$R$45,IF(H400&gt;Summary!$V$3,Summary!$R$46,Summary!$R$45))*(B400+30),0)</f>
        <v>5</v>
      </c>
      <c r="H400">
        <f>IF(H399&gt;Summary!$V$4,0,H399+F399)</f>
        <v>148133</v>
      </c>
      <c r="I400" s="26">
        <f>DATE(YEAR(Summary!$V$2),MONTH(Summary!$V$2),DAY(Summary!$V$2)+INT(H400/480))</f>
        <v>43898</v>
      </c>
      <c r="J400" s="27">
        <f t="shared" si="6"/>
        <v>0.53680555555555554</v>
      </c>
    </row>
    <row r="401" spans="1:10">
      <c r="A401" t="str">
        <f>VLOOKUP(Summary!M400,Summary!$P$13:$Q$24,2)</f>
        <v>B1700-sky</v>
      </c>
      <c r="B401">
        <f>ROUND(NORMINV(Summary!M402,VLOOKUP(A401,Summary!$Q$13:$S$24,3,FALSE),VLOOKUP(A401,Summary!$Q$13:$S$24,3,FALSE)/6),-1)</f>
        <v>300</v>
      </c>
      <c r="C401" t="str">
        <f>IF(AND(H401=0,C400=Summary!$P$2),Summary!$Q$2,IF(AND(H401=0,C400=Summary!$Q$2),Summary!$R$2,C400))</f>
        <v>Neesha</v>
      </c>
      <c r="D401" t="str">
        <f>IF(C401=Summary!$P$26,VLOOKUP(Summary!M408,Summary!$Q$26:$R$27,2),IF('Run Data'!C401=Summary!$P$28,VLOOKUP(Summary!M408,Summary!$Q$28:$R$29,2),VLOOKUP(Summary!M408,Summary!$Q$30:$R$32,2)))</f>
        <v>Sprig 1</v>
      </c>
      <c r="E401" t="str">
        <f>VLOOKUP(Summary!M411,Summary!$P$42:$Q$43,2)</f>
        <v>86</v>
      </c>
      <c r="F401">
        <f>IF(LEFT(A401,3)="B60",20,IF(LEFT(A401,3)="B12",30,25))+B401*0.5+INT(Summary!M414*20)</f>
        <v>186</v>
      </c>
      <c r="G401">
        <f>ROUND(IF(OR(ISERROR(FIND(Summary!$P$89,CONCATENATE(C401,D401,E401))),ISERROR(FIND(Summary!$Q$89,A401))),Summary!$R$45,IF(H401&gt;Summary!$V$3,Summary!$R$46,Summary!$R$45))*(B401+30),0)</f>
        <v>40</v>
      </c>
      <c r="H401">
        <f>IF(H400&gt;Summary!$V$4,0,H400+F400)</f>
        <v>148406</v>
      </c>
      <c r="I401" s="26">
        <f>DATE(YEAR(Summary!$V$2),MONTH(Summary!$V$2),DAY(Summary!$V$2)+INT(H401/480))</f>
        <v>43899</v>
      </c>
      <c r="J401" s="27">
        <f t="shared" ref="J401:J464" si="7">TIME(INT(MOD(H401,480)/60)+8,MOD(MOD(H401,480),60),0)</f>
        <v>0.39305555555555555</v>
      </c>
    </row>
    <row r="402" spans="1:10">
      <c r="A402" t="str">
        <f>VLOOKUP(Summary!M401,Summary!$P$13:$Q$24,2)</f>
        <v>B1200-fire</v>
      </c>
      <c r="B402">
        <f>ROUND(NORMINV(Summary!M403,VLOOKUP(A402,Summary!$Q$13:$S$24,3,FALSE),VLOOKUP(A402,Summary!$Q$13:$S$24,3,FALSE)/6),-1)</f>
        <v>1150</v>
      </c>
      <c r="C402" t="str">
        <f>IF(AND(H402=0,C401=Summary!$P$2),Summary!$Q$2,IF(AND(H402=0,C401=Summary!$Q$2),Summary!$R$2,C401))</f>
        <v>Neesha</v>
      </c>
      <c r="D402" t="str">
        <f>IF(C402=Summary!$P$26,VLOOKUP(Summary!M409,Summary!$Q$26:$R$27,2),IF('Run Data'!C402=Summary!$P$28,VLOOKUP(Summary!M409,Summary!$Q$28:$R$29,2),VLOOKUP(Summary!M409,Summary!$Q$30:$R$32,2)))</f>
        <v>Sprig 1</v>
      </c>
      <c r="E402" t="str">
        <f>VLOOKUP(Summary!M412,Summary!$P$42:$Q$43,2)</f>
        <v>86</v>
      </c>
      <c r="F402">
        <f>IF(LEFT(A402,3)="B60",20,IF(LEFT(A402,3)="B12",30,25))+B402*0.5+INT(Summary!M415*20)</f>
        <v>615</v>
      </c>
      <c r="G402">
        <f>ROUND(IF(OR(ISERROR(FIND(Summary!$P$89,CONCATENATE(C402,D402,E402))),ISERROR(FIND(Summary!$Q$89,A402))),Summary!$R$45,IF(H402&gt;Summary!$V$3,Summary!$R$46,Summary!$R$45))*(B402+30),0)</f>
        <v>12</v>
      </c>
      <c r="H402">
        <f>IF(H401&gt;Summary!$V$4,0,H401+F401)</f>
        <v>148592</v>
      </c>
      <c r="I402" s="26">
        <f>DATE(YEAR(Summary!$V$2),MONTH(Summary!$V$2),DAY(Summary!$V$2)+INT(H402/480))</f>
        <v>43899</v>
      </c>
      <c r="J402" s="27">
        <f t="shared" si="7"/>
        <v>0.52222222222222225</v>
      </c>
    </row>
    <row r="403" spans="1:10">
      <c r="A403" t="str">
        <f>VLOOKUP(Summary!M402,Summary!$P$13:$Q$24,2)</f>
        <v>B600-plum</v>
      </c>
      <c r="B403">
        <f>ROUND(NORMINV(Summary!M404,VLOOKUP(A403,Summary!$Q$13:$S$24,3,FALSE),VLOOKUP(A403,Summary!$Q$13:$S$24,3,FALSE)/6),-1)</f>
        <v>180</v>
      </c>
      <c r="C403" t="str">
        <f>IF(AND(H403=0,C402=Summary!$P$2),Summary!$Q$2,IF(AND(H403=0,C402=Summary!$Q$2),Summary!$R$2,C402))</f>
        <v>Neesha</v>
      </c>
      <c r="D403" t="str">
        <f>IF(C403=Summary!$P$26,VLOOKUP(Summary!M410,Summary!$Q$26:$R$27,2),IF('Run Data'!C403=Summary!$P$28,VLOOKUP(Summary!M410,Summary!$Q$28:$R$29,2),VLOOKUP(Summary!M410,Summary!$Q$30:$R$32,2)))</f>
        <v>Sprig 1</v>
      </c>
      <c r="E403" t="str">
        <f>VLOOKUP(Summary!M413,Summary!$P$42:$Q$43,2)</f>
        <v>86</v>
      </c>
      <c r="F403">
        <f>IF(LEFT(A403,3)="B60",20,IF(LEFT(A403,3)="B12",30,25))+B403*0.5+INT(Summary!M416*20)</f>
        <v>116</v>
      </c>
      <c r="G403">
        <f>ROUND(IF(OR(ISERROR(FIND(Summary!$P$89,CONCATENATE(C403,D403,E403))),ISERROR(FIND(Summary!$Q$89,A403))),Summary!$R$45,IF(H403&gt;Summary!$V$3,Summary!$R$46,Summary!$R$45))*(B403+30),0)</f>
        <v>2</v>
      </c>
      <c r="H403">
        <f>IF(H402&gt;Summary!$V$4,0,H402+F402)</f>
        <v>149207</v>
      </c>
      <c r="I403" s="26">
        <f>DATE(YEAR(Summary!$V$2),MONTH(Summary!$V$2),DAY(Summary!$V$2)+INT(H403/480))</f>
        <v>43900</v>
      </c>
      <c r="J403" s="27">
        <f t="shared" si="7"/>
        <v>0.61597222222222225</v>
      </c>
    </row>
    <row r="404" spans="1:10">
      <c r="A404" t="str">
        <f>VLOOKUP(Summary!M403,Summary!$P$13:$Q$24,2)</f>
        <v>B1200-sky</v>
      </c>
      <c r="B404">
        <f>ROUND(NORMINV(Summary!M405,VLOOKUP(A404,Summary!$Q$13:$S$24,3,FALSE),VLOOKUP(A404,Summary!$Q$13:$S$24,3,FALSE)/6),-1)</f>
        <v>1150</v>
      </c>
      <c r="C404" t="str">
        <f>IF(AND(H404=0,C403=Summary!$P$2),Summary!$Q$2,IF(AND(H404=0,C403=Summary!$Q$2),Summary!$R$2,C403))</f>
        <v>Neesha</v>
      </c>
      <c r="D404" t="str">
        <f>IF(C404=Summary!$P$26,VLOOKUP(Summary!M411,Summary!$Q$26:$R$27,2),IF('Run Data'!C404=Summary!$P$28,VLOOKUP(Summary!M411,Summary!$Q$28:$R$29,2),VLOOKUP(Summary!M411,Summary!$Q$30:$R$32,2)))</f>
        <v>Sprig 1</v>
      </c>
      <c r="E404" t="str">
        <f>VLOOKUP(Summary!M414,Summary!$P$42:$Q$43,2)</f>
        <v>86</v>
      </c>
      <c r="F404">
        <f>IF(LEFT(A404,3)="B60",20,IF(LEFT(A404,3)="B12",30,25))+B404*0.5+INT(Summary!M417*20)</f>
        <v>620</v>
      </c>
      <c r="G404">
        <f>ROUND(IF(OR(ISERROR(FIND(Summary!$P$89,CONCATENATE(C404,D404,E404))),ISERROR(FIND(Summary!$Q$89,A404))),Summary!$R$45,IF(H404&gt;Summary!$V$3,Summary!$R$46,Summary!$R$45))*(B404+30),0)</f>
        <v>12</v>
      </c>
      <c r="H404">
        <f>IF(H403&gt;Summary!$V$4,0,H403+F403)</f>
        <v>149323</v>
      </c>
      <c r="I404" s="26">
        <f>DATE(YEAR(Summary!$V$2),MONTH(Summary!$V$2),DAY(Summary!$V$2)+INT(H404/480))</f>
        <v>43901</v>
      </c>
      <c r="J404" s="27">
        <f t="shared" si="7"/>
        <v>0.36319444444444443</v>
      </c>
    </row>
    <row r="405" spans="1:10">
      <c r="A405" t="str">
        <f>VLOOKUP(Summary!M404,Summary!$P$13:$Q$24,2)</f>
        <v>B1200-plum</v>
      </c>
      <c r="B405">
        <f>ROUND(NORMINV(Summary!M406,VLOOKUP(A405,Summary!$Q$13:$S$24,3,FALSE),VLOOKUP(A405,Summary!$Q$13:$S$24,3,FALSE)/6),-1)</f>
        <v>380</v>
      </c>
      <c r="C405" t="str">
        <f>IF(AND(H405=0,C404=Summary!$P$2),Summary!$Q$2,IF(AND(H405=0,C404=Summary!$Q$2),Summary!$R$2,C404))</f>
        <v>Neesha</v>
      </c>
      <c r="D405" t="str">
        <f>IF(C405=Summary!$P$26,VLOOKUP(Summary!M412,Summary!$Q$26:$R$27,2),IF('Run Data'!C405=Summary!$P$28,VLOOKUP(Summary!M412,Summary!$Q$28:$R$29,2),VLOOKUP(Summary!M412,Summary!$Q$30:$R$32,2)))</f>
        <v>Sprig 1</v>
      </c>
      <c r="E405" t="str">
        <f>VLOOKUP(Summary!M415,Summary!$P$42:$Q$43,2)</f>
        <v>86</v>
      </c>
      <c r="F405">
        <f>IF(LEFT(A405,3)="B60",20,IF(LEFT(A405,3)="B12",30,25))+B405*0.5+INT(Summary!M418*20)</f>
        <v>230</v>
      </c>
      <c r="G405">
        <f>ROUND(IF(OR(ISERROR(FIND(Summary!$P$89,CONCATENATE(C405,D405,E405))),ISERROR(FIND(Summary!$Q$89,A405))),Summary!$R$45,IF(H405&gt;Summary!$V$3,Summary!$R$46,Summary!$R$45))*(B405+30),0)</f>
        <v>4</v>
      </c>
      <c r="H405">
        <f>IF(H404&gt;Summary!$V$4,0,H404+F404)</f>
        <v>149943</v>
      </c>
      <c r="I405" s="26">
        <f>DATE(YEAR(Summary!$V$2),MONTH(Summary!$V$2),DAY(Summary!$V$2)+INT(H405/480))</f>
        <v>43902</v>
      </c>
      <c r="J405" s="27">
        <f t="shared" si="7"/>
        <v>0.4604166666666667</v>
      </c>
    </row>
    <row r="406" spans="1:10">
      <c r="A406" t="str">
        <f>VLOOKUP(Summary!M405,Summary!$P$13:$Q$24,2)</f>
        <v>B1200-sky</v>
      </c>
      <c r="B406">
        <f>ROUND(NORMINV(Summary!M407,VLOOKUP(A406,Summary!$Q$13:$S$24,3,FALSE),VLOOKUP(A406,Summary!$Q$13:$S$24,3,FALSE)/6),-1)</f>
        <v>950</v>
      </c>
      <c r="C406" t="str">
        <f>IF(AND(H406=0,C405=Summary!$P$2),Summary!$Q$2,IF(AND(H406=0,C405=Summary!$Q$2),Summary!$R$2,C405))</f>
        <v>Neesha</v>
      </c>
      <c r="D406" t="str">
        <f>IF(C406=Summary!$P$26,VLOOKUP(Summary!M413,Summary!$Q$26:$R$27,2),IF('Run Data'!C406=Summary!$P$28,VLOOKUP(Summary!M413,Summary!$Q$28:$R$29,2),VLOOKUP(Summary!M413,Summary!$Q$30:$R$32,2)))</f>
        <v>Sprig 1</v>
      </c>
      <c r="E406" t="str">
        <f>VLOOKUP(Summary!M416,Summary!$P$42:$Q$43,2)</f>
        <v>86</v>
      </c>
      <c r="F406">
        <f>IF(LEFT(A406,3)="B60",20,IF(LEFT(A406,3)="B12",30,25))+B406*0.5+INT(Summary!M419*20)</f>
        <v>523</v>
      </c>
      <c r="G406">
        <f>ROUND(IF(OR(ISERROR(FIND(Summary!$P$89,CONCATENATE(C406,D406,E406))),ISERROR(FIND(Summary!$Q$89,A406))),Summary!$R$45,IF(H406&gt;Summary!$V$3,Summary!$R$46,Summary!$R$45))*(B406+30),0)</f>
        <v>10</v>
      </c>
      <c r="H406">
        <f>IF(H405&gt;Summary!$V$4,0,H405+F405)</f>
        <v>150173</v>
      </c>
      <c r="I406" s="26">
        <f>DATE(YEAR(Summary!$V$2),MONTH(Summary!$V$2),DAY(Summary!$V$2)+INT(H406/480))</f>
        <v>43902</v>
      </c>
      <c r="J406" s="27">
        <f t="shared" si="7"/>
        <v>0.62013888888888891</v>
      </c>
    </row>
    <row r="407" spans="1:10">
      <c r="A407" t="str">
        <f>VLOOKUP(Summary!M406,Summary!$P$13:$Q$24,2)</f>
        <v>B600-lime</v>
      </c>
      <c r="B407">
        <f>ROUND(NORMINV(Summary!M408,VLOOKUP(A407,Summary!$Q$13:$S$24,3,FALSE),VLOOKUP(A407,Summary!$Q$13:$S$24,3,FALSE)/6),-1)</f>
        <v>260</v>
      </c>
      <c r="C407" t="str">
        <f>IF(AND(H407=0,C406=Summary!$P$2),Summary!$Q$2,IF(AND(H407=0,C406=Summary!$Q$2),Summary!$R$2,C406))</f>
        <v>Neesha</v>
      </c>
      <c r="D407" t="str">
        <f>IF(C407=Summary!$P$26,VLOOKUP(Summary!M414,Summary!$Q$26:$R$27,2),IF('Run Data'!C407=Summary!$P$28,VLOOKUP(Summary!M414,Summary!$Q$28:$R$29,2),VLOOKUP(Summary!M414,Summary!$Q$30:$R$32,2)))</f>
        <v>Sprig 1</v>
      </c>
      <c r="E407" t="str">
        <f>VLOOKUP(Summary!M417,Summary!$P$42:$Q$43,2)</f>
        <v>86</v>
      </c>
      <c r="F407">
        <f>IF(LEFT(A407,3)="B60",20,IF(LEFT(A407,3)="B12",30,25))+B407*0.5+INT(Summary!M420*20)</f>
        <v>158</v>
      </c>
      <c r="G407">
        <f>ROUND(IF(OR(ISERROR(FIND(Summary!$P$89,CONCATENATE(C407,D407,E407))),ISERROR(FIND(Summary!$Q$89,A407))),Summary!$R$45,IF(H407&gt;Summary!$V$3,Summary!$R$46,Summary!$R$45))*(B407+30),0)</f>
        <v>3</v>
      </c>
      <c r="H407">
        <f>IF(H406&gt;Summary!$V$4,0,H406+F406)</f>
        <v>150696</v>
      </c>
      <c r="I407" s="26">
        <f>DATE(YEAR(Summary!$V$2),MONTH(Summary!$V$2),DAY(Summary!$V$2)+INT(H407/480))</f>
        <v>43903</v>
      </c>
      <c r="J407" s="27">
        <f t="shared" si="7"/>
        <v>0.65</v>
      </c>
    </row>
    <row r="408" spans="1:10">
      <c r="A408" t="str">
        <f>VLOOKUP(Summary!M407,Summary!$P$13:$Q$24,2)</f>
        <v>B600-sky</v>
      </c>
      <c r="B408">
        <f>ROUND(NORMINV(Summary!M409,VLOOKUP(A408,Summary!$Q$13:$S$24,3,FALSE),VLOOKUP(A408,Summary!$Q$13:$S$24,3,FALSE)/6),-1)</f>
        <v>410</v>
      </c>
      <c r="C408" t="str">
        <f>IF(AND(H408=0,C407=Summary!$P$2),Summary!$Q$2,IF(AND(H408=0,C407=Summary!$Q$2),Summary!$R$2,C407))</f>
        <v>Neesha</v>
      </c>
      <c r="D408" t="str">
        <f>IF(C408=Summary!$P$26,VLOOKUP(Summary!M415,Summary!$Q$26:$R$27,2),IF('Run Data'!C408=Summary!$P$28,VLOOKUP(Summary!M415,Summary!$Q$28:$R$29,2),VLOOKUP(Summary!M415,Summary!$Q$30:$R$32,2)))</f>
        <v>Sprig 1</v>
      </c>
      <c r="E408" t="str">
        <f>VLOOKUP(Summary!M418,Summary!$P$42:$Q$43,2)</f>
        <v>86</v>
      </c>
      <c r="F408">
        <f>IF(LEFT(A408,3)="B60",20,IF(LEFT(A408,3)="B12",30,25))+B408*0.5+INT(Summary!M421*20)</f>
        <v>225</v>
      </c>
      <c r="G408">
        <f>ROUND(IF(OR(ISERROR(FIND(Summary!$P$89,CONCATENATE(C408,D408,E408))),ISERROR(FIND(Summary!$Q$89,A408))),Summary!$R$45,IF(H408&gt;Summary!$V$3,Summary!$R$46,Summary!$R$45))*(B408+30),0)</f>
        <v>4</v>
      </c>
      <c r="H408">
        <f>IF(H407&gt;Summary!$V$4,0,H407+F407)</f>
        <v>150854</v>
      </c>
      <c r="I408" s="26">
        <f>DATE(YEAR(Summary!$V$2),MONTH(Summary!$V$2),DAY(Summary!$V$2)+INT(H408/480))</f>
        <v>43904</v>
      </c>
      <c r="J408" s="27">
        <f t="shared" si="7"/>
        <v>0.42638888888888887</v>
      </c>
    </row>
    <row r="409" spans="1:10">
      <c r="A409" t="str">
        <f>VLOOKUP(Summary!M408,Summary!$P$13:$Q$24,2)</f>
        <v>B600-lime</v>
      </c>
      <c r="B409">
        <f>ROUND(NORMINV(Summary!M410,VLOOKUP(A409,Summary!$Q$13:$S$24,3,FALSE),VLOOKUP(A409,Summary!$Q$13:$S$24,3,FALSE)/6),-1)</f>
        <v>260</v>
      </c>
      <c r="C409" t="str">
        <f>IF(AND(H409=0,C408=Summary!$P$2),Summary!$Q$2,IF(AND(H409=0,C408=Summary!$Q$2),Summary!$R$2,C408))</f>
        <v>Neesha</v>
      </c>
      <c r="D409" t="str">
        <f>IF(C409=Summary!$P$26,VLOOKUP(Summary!M416,Summary!$Q$26:$R$27,2),IF('Run Data'!C409=Summary!$P$28,VLOOKUP(Summary!M416,Summary!$Q$28:$R$29,2),VLOOKUP(Summary!M416,Summary!$Q$30:$R$32,2)))</f>
        <v>Sprig 1</v>
      </c>
      <c r="E409" t="str">
        <f>VLOOKUP(Summary!M419,Summary!$P$42:$Q$43,2)</f>
        <v>87b</v>
      </c>
      <c r="F409">
        <f>IF(LEFT(A409,3)="B60",20,IF(LEFT(A409,3)="B12",30,25))+B409*0.5+INT(Summary!M422*20)</f>
        <v>150</v>
      </c>
      <c r="G409">
        <f>ROUND(IF(OR(ISERROR(FIND(Summary!$P$89,CONCATENATE(C409,D409,E409))),ISERROR(FIND(Summary!$Q$89,A409))),Summary!$R$45,IF(H409&gt;Summary!$V$3,Summary!$R$46,Summary!$R$45))*(B409+30),0)</f>
        <v>3</v>
      </c>
      <c r="H409">
        <f>IF(H408&gt;Summary!$V$4,0,H408+F408)</f>
        <v>151079</v>
      </c>
      <c r="I409" s="26">
        <f>DATE(YEAR(Summary!$V$2),MONTH(Summary!$V$2),DAY(Summary!$V$2)+INT(H409/480))</f>
        <v>43904</v>
      </c>
      <c r="J409" s="27">
        <f t="shared" si="7"/>
        <v>0.58263888888888882</v>
      </c>
    </row>
    <row r="410" spans="1:10">
      <c r="A410" t="str">
        <f>VLOOKUP(Summary!M409,Summary!$P$13:$Q$24,2)</f>
        <v>B600-fire</v>
      </c>
      <c r="B410">
        <f>ROUND(NORMINV(Summary!M411,VLOOKUP(A410,Summary!$Q$13:$S$24,3,FALSE),VLOOKUP(A410,Summary!$Q$13:$S$24,3,FALSE)/6),-1)</f>
        <v>440</v>
      </c>
      <c r="C410" t="str">
        <f>IF(AND(H410=0,C409=Summary!$P$2),Summary!$Q$2,IF(AND(H410=0,C409=Summary!$Q$2),Summary!$R$2,C409))</f>
        <v>Neesha</v>
      </c>
      <c r="D410" t="str">
        <f>IF(C410=Summary!$P$26,VLOOKUP(Summary!M417,Summary!$Q$26:$R$27,2),IF('Run Data'!C410=Summary!$P$28,VLOOKUP(Summary!M417,Summary!$Q$28:$R$29,2),VLOOKUP(Summary!M417,Summary!$Q$30:$R$32,2)))</f>
        <v>Sprig 4</v>
      </c>
      <c r="E410" t="str">
        <f>VLOOKUP(Summary!M420,Summary!$P$42:$Q$43,2)</f>
        <v>86</v>
      </c>
      <c r="F410">
        <f>IF(LEFT(A410,3)="B60",20,IF(LEFT(A410,3)="B12",30,25))+B410*0.5+INT(Summary!M423*20)</f>
        <v>256</v>
      </c>
      <c r="G410">
        <f>ROUND(IF(OR(ISERROR(FIND(Summary!$P$89,CONCATENATE(C410,D410,E410))),ISERROR(FIND(Summary!$Q$89,A410))),Summary!$R$45,IF(H410&gt;Summary!$V$3,Summary!$R$46,Summary!$R$45))*(B410+30),0)</f>
        <v>5</v>
      </c>
      <c r="H410">
        <f>IF(H409&gt;Summary!$V$4,0,H409+F409)</f>
        <v>151229</v>
      </c>
      <c r="I410" s="26">
        <f>DATE(YEAR(Summary!$V$2),MONTH(Summary!$V$2),DAY(Summary!$V$2)+INT(H410/480))</f>
        <v>43905</v>
      </c>
      <c r="J410" s="27">
        <f t="shared" si="7"/>
        <v>0.35347222222222219</v>
      </c>
    </row>
    <row r="411" spans="1:10">
      <c r="A411" t="str">
        <f>VLOOKUP(Summary!M410,Summary!$P$13:$Q$24,2)</f>
        <v>B600-lime</v>
      </c>
      <c r="B411">
        <f>ROUND(NORMINV(Summary!M412,VLOOKUP(A411,Summary!$Q$13:$S$24,3,FALSE),VLOOKUP(A411,Summary!$Q$13:$S$24,3,FALSE)/6),-1)</f>
        <v>330</v>
      </c>
      <c r="C411" t="str">
        <f>IF(AND(H411=0,C410=Summary!$P$2),Summary!$Q$2,IF(AND(H411=0,C410=Summary!$Q$2),Summary!$R$2,C410))</f>
        <v>Neesha</v>
      </c>
      <c r="D411" t="str">
        <f>IF(C411=Summary!$P$26,VLOOKUP(Summary!M418,Summary!$Q$26:$R$27,2),IF('Run Data'!C411=Summary!$P$28,VLOOKUP(Summary!M418,Summary!$Q$28:$R$29,2),VLOOKUP(Summary!M418,Summary!$Q$30:$R$32,2)))</f>
        <v>Sprig 1</v>
      </c>
      <c r="E411" t="str">
        <f>VLOOKUP(Summary!M421,Summary!$P$42:$Q$43,2)</f>
        <v>86</v>
      </c>
      <c r="F411">
        <f>IF(LEFT(A411,3)="B60",20,IF(LEFT(A411,3)="B12",30,25))+B411*0.5+INT(Summary!M424*20)</f>
        <v>189</v>
      </c>
      <c r="G411">
        <f>ROUND(IF(OR(ISERROR(FIND(Summary!$P$89,CONCATENATE(C411,D411,E411))),ISERROR(FIND(Summary!$Q$89,A411))),Summary!$R$45,IF(H411&gt;Summary!$V$3,Summary!$R$46,Summary!$R$45))*(B411+30),0)</f>
        <v>4</v>
      </c>
      <c r="H411">
        <f>IF(H410&gt;Summary!$V$4,0,H410+F410)</f>
        <v>151485</v>
      </c>
      <c r="I411" s="26">
        <f>DATE(YEAR(Summary!$V$2),MONTH(Summary!$V$2),DAY(Summary!$V$2)+INT(H411/480))</f>
        <v>43905</v>
      </c>
      <c r="J411" s="27">
        <f t="shared" si="7"/>
        <v>0.53125</v>
      </c>
    </row>
    <row r="412" spans="1:10">
      <c r="A412" t="str">
        <f>VLOOKUP(Summary!M411,Summary!$P$13:$Q$24,2)</f>
        <v>B1700-plum</v>
      </c>
      <c r="B412">
        <f>ROUND(NORMINV(Summary!M413,VLOOKUP(A412,Summary!$Q$13:$S$24,3,FALSE),VLOOKUP(A412,Summary!$Q$13:$S$24,3,FALSE)/6),-1)</f>
        <v>250</v>
      </c>
      <c r="C412" t="str">
        <f>IF(AND(H412=0,C411=Summary!$P$2),Summary!$Q$2,IF(AND(H412=0,C411=Summary!$Q$2),Summary!$R$2,C411))</f>
        <v>Neesha</v>
      </c>
      <c r="D412" t="str">
        <f>IF(C412=Summary!$P$26,VLOOKUP(Summary!M419,Summary!$Q$26:$R$27,2),IF('Run Data'!C412=Summary!$P$28,VLOOKUP(Summary!M419,Summary!$Q$28:$R$29,2),VLOOKUP(Summary!M419,Summary!$Q$30:$R$32,2)))</f>
        <v>Sprig 4</v>
      </c>
      <c r="E412" t="str">
        <f>VLOOKUP(Summary!M422,Summary!$P$42:$Q$43,2)</f>
        <v>86</v>
      </c>
      <c r="F412">
        <f>IF(LEFT(A412,3)="B60",20,IF(LEFT(A412,3)="B12",30,25))+B412*0.5+INT(Summary!M425*20)</f>
        <v>156</v>
      </c>
      <c r="G412">
        <f>ROUND(IF(OR(ISERROR(FIND(Summary!$P$89,CONCATENATE(C412,D412,E412))),ISERROR(FIND(Summary!$Q$89,A412))),Summary!$R$45,IF(H412&gt;Summary!$V$3,Summary!$R$46,Summary!$R$45))*(B412+30),0)</f>
        <v>34</v>
      </c>
      <c r="H412">
        <f>IF(H411&gt;Summary!$V$4,0,H411+F411)</f>
        <v>151674</v>
      </c>
      <c r="I412" s="26">
        <f>DATE(YEAR(Summary!$V$2),MONTH(Summary!$V$2),DAY(Summary!$V$2)+INT(H412/480))</f>
        <v>43905</v>
      </c>
      <c r="J412" s="27">
        <f t="shared" si="7"/>
        <v>0.66249999999999998</v>
      </c>
    </row>
    <row r="413" spans="1:10">
      <c r="A413" t="str">
        <f>VLOOKUP(Summary!M412,Summary!$P$13:$Q$24,2)</f>
        <v>B1700-plum</v>
      </c>
      <c r="B413">
        <f>ROUND(NORMINV(Summary!M414,VLOOKUP(A413,Summary!$Q$13:$S$24,3,FALSE),VLOOKUP(A413,Summary!$Q$13:$S$24,3,FALSE)/6),-1)</f>
        <v>310</v>
      </c>
      <c r="C413" t="str">
        <f>IF(AND(H413=0,C412=Summary!$P$2),Summary!$Q$2,IF(AND(H413=0,C412=Summary!$Q$2),Summary!$R$2,C412))</f>
        <v>Neesha</v>
      </c>
      <c r="D413" t="str">
        <f>IF(C413=Summary!$P$26,VLOOKUP(Summary!M420,Summary!$Q$26:$R$27,2),IF('Run Data'!C413=Summary!$P$28,VLOOKUP(Summary!M420,Summary!$Q$28:$R$29,2),VLOOKUP(Summary!M420,Summary!$Q$30:$R$32,2)))</f>
        <v>Sprig 1</v>
      </c>
      <c r="E413" t="str">
        <f>VLOOKUP(Summary!M423,Summary!$P$42:$Q$43,2)</f>
        <v>86</v>
      </c>
      <c r="F413">
        <f>IF(LEFT(A413,3)="B60",20,IF(LEFT(A413,3)="B12",30,25))+B413*0.5+INT(Summary!M426*20)</f>
        <v>199</v>
      </c>
      <c r="G413">
        <f>ROUND(IF(OR(ISERROR(FIND(Summary!$P$89,CONCATENATE(C413,D413,E413))),ISERROR(FIND(Summary!$Q$89,A413))),Summary!$R$45,IF(H413&gt;Summary!$V$3,Summary!$R$46,Summary!$R$45))*(B413+30),0)</f>
        <v>41</v>
      </c>
      <c r="H413">
        <f>IF(H412&gt;Summary!$V$4,0,H412+F412)</f>
        <v>151830</v>
      </c>
      <c r="I413" s="26">
        <f>DATE(YEAR(Summary!$V$2),MONTH(Summary!$V$2),DAY(Summary!$V$2)+INT(H413/480))</f>
        <v>43906</v>
      </c>
      <c r="J413" s="27">
        <f t="shared" si="7"/>
        <v>0.4375</v>
      </c>
    </row>
    <row r="414" spans="1:10">
      <c r="A414" t="str">
        <f>VLOOKUP(Summary!M413,Summary!$P$13:$Q$24,2)</f>
        <v>B600-lime</v>
      </c>
      <c r="B414">
        <f>ROUND(NORMINV(Summary!M415,VLOOKUP(A414,Summary!$Q$13:$S$24,3,FALSE),VLOOKUP(A414,Summary!$Q$13:$S$24,3,FALSE)/6),-1)</f>
        <v>300</v>
      </c>
      <c r="C414" t="str">
        <f>IF(AND(H414=0,C413=Summary!$P$2),Summary!$Q$2,IF(AND(H414=0,C413=Summary!$Q$2),Summary!$R$2,C413))</f>
        <v>Neesha</v>
      </c>
      <c r="D414" t="str">
        <f>IF(C414=Summary!$P$26,VLOOKUP(Summary!M421,Summary!$Q$26:$R$27,2),IF('Run Data'!C414=Summary!$P$28,VLOOKUP(Summary!M421,Summary!$Q$28:$R$29,2),VLOOKUP(Summary!M421,Summary!$Q$30:$R$32,2)))</f>
        <v>Sprig 1</v>
      </c>
      <c r="E414" t="str">
        <f>VLOOKUP(Summary!M424,Summary!$P$42:$Q$43,2)</f>
        <v>86</v>
      </c>
      <c r="F414">
        <f>IF(LEFT(A414,3)="B60",20,IF(LEFT(A414,3)="B12",30,25))+B414*0.5+INT(Summary!M427*20)</f>
        <v>182</v>
      </c>
      <c r="G414">
        <f>ROUND(IF(OR(ISERROR(FIND(Summary!$P$89,CONCATENATE(C414,D414,E414))),ISERROR(FIND(Summary!$Q$89,A414))),Summary!$R$45,IF(H414&gt;Summary!$V$3,Summary!$R$46,Summary!$R$45))*(B414+30),0)</f>
        <v>3</v>
      </c>
      <c r="H414">
        <f>IF(H413&gt;Summary!$V$4,0,H413+F413)</f>
        <v>152029</v>
      </c>
      <c r="I414" s="26">
        <f>DATE(YEAR(Summary!$V$2),MONTH(Summary!$V$2),DAY(Summary!$V$2)+INT(H414/480))</f>
        <v>43906</v>
      </c>
      <c r="J414" s="27">
        <f t="shared" si="7"/>
        <v>0.5756944444444444</v>
      </c>
    </row>
    <row r="415" spans="1:10">
      <c r="A415" t="str">
        <f>VLOOKUP(Summary!M414,Summary!$P$13:$Q$24,2)</f>
        <v>B1200-lime</v>
      </c>
      <c r="B415">
        <f>ROUND(NORMINV(Summary!M416,VLOOKUP(A415,Summary!$Q$13:$S$24,3,FALSE),VLOOKUP(A415,Summary!$Q$13:$S$24,3,FALSE)/6),-1)</f>
        <v>730</v>
      </c>
      <c r="C415" t="str">
        <f>IF(AND(H415=0,C414=Summary!$P$2),Summary!$Q$2,IF(AND(H415=0,C414=Summary!$Q$2),Summary!$R$2,C414))</f>
        <v>Neesha</v>
      </c>
      <c r="D415" t="str">
        <f>IF(C415=Summary!$P$26,VLOOKUP(Summary!M422,Summary!$Q$26:$R$27,2),IF('Run Data'!C415=Summary!$P$28,VLOOKUP(Summary!M422,Summary!$Q$28:$R$29,2),VLOOKUP(Summary!M422,Summary!$Q$30:$R$32,2)))</f>
        <v>Sprig 1</v>
      </c>
      <c r="E415" t="str">
        <f>VLOOKUP(Summary!M425,Summary!$P$42:$Q$43,2)</f>
        <v>86</v>
      </c>
      <c r="F415">
        <f>IF(LEFT(A415,3)="B60",20,IF(LEFT(A415,3)="B12",30,25))+B415*0.5+INT(Summary!M428*20)</f>
        <v>406</v>
      </c>
      <c r="G415">
        <f>ROUND(IF(OR(ISERROR(FIND(Summary!$P$89,CONCATENATE(C415,D415,E415))),ISERROR(FIND(Summary!$Q$89,A415))),Summary!$R$45,IF(H415&gt;Summary!$V$3,Summary!$R$46,Summary!$R$45))*(B415+30),0)</f>
        <v>8</v>
      </c>
      <c r="H415">
        <f>IF(H414&gt;Summary!$V$4,0,H414+F414)</f>
        <v>152211</v>
      </c>
      <c r="I415" s="26">
        <f>DATE(YEAR(Summary!$V$2),MONTH(Summary!$V$2),DAY(Summary!$V$2)+INT(H415/480))</f>
        <v>43907</v>
      </c>
      <c r="J415" s="27">
        <f t="shared" si="7"/>
        <v>0.36874999999999997</v>
      </c>
    </row>
    <row r="416" spans="1:10">
      <c r="A416" t="str">
        <f>VLOOKUP(Summary!M415,Summary!$P$13:$Q$24,2)</f>
        <v>B1200-fire</v>
      </c>
      <c r="B416">
        <f>ROUND(NORMINV(Summary!M417,VLOOKUP(A416,Summary!$Q$13:$S$24,3,FALSE),VLOOKUP(A416,Summary!$Q$13:$S$24,3,FALSE)/6),-1)</f>
        <v>1360</v>
      </c>
      <c r="C416" t="str">
        <f>IF(AND(H416=0,C415=Summary!$P$2),Summary!$Q$2,IF(AND(H416=0,C415=Summary!$Q$2),Summary!$R$2,C415))</f>
        <v>Neesha</v>
      </c>
      <c r="D416" t="str">
        <f>IF(C416=Summary!$P$26,VLOOKUP(Summary!M423,Summary!$Q$26:$R$27,2),IF('Run Data'!C416=Summary!$P$28,VLOOKUP(Summary!M423,Summary!$Q$28:$R$29,2),VLOOKUP(Summary!M423,Summary!$Q$30:$R$32,2)))</f>
        <v>Sprig 4</v>
      </c>
      <c r="E416" t="str">
        <f>VLOOKUP(Summary!M426,Summary!$P$42:$Q$43,2)</f>
        <v>87b</v>
      </c>
      <c r="F416">
        <f>IF(LEFT(A416,3)="B60",20,IF(LEFT(A416,3)="B12",30,25))+B416*0.5+INT(Summary!M429*20)</f>
        <v>711</v>
      </c>
      <c r="G416">
        <f>ROUND(IF(OR(ISERROR(FIND(Summary!$P$89,CONCATENATE(C416,D416,E416))),ISERROR(FIND(Summary!$Q$89,A416))),Summary!$R$45,IF(H416&gt;Summary!$V$3,Summary!$R$46,Summary!$R$45))*(B416+30),0)</f>
        <v>14</v>
      </c>
      <c r="H416">
        <f>IF(H415&gt;Summary!$V$4,0,H415+F415)</f>
        <v>152617</v>
      </c>
      <c r="I416" s="26">
        <f>DATE(YEAR(Summary!$V$2),MONTH(Summary!$V$2),DAY(Summary!$V$2)+INT(H416/480))</f>
        <v>43907</v>
      </c>
      <c r="J416" s="27">
        <f t="shared" si="7"/>
        <v>0.65069444444444446</v>
      </c>
    </row>
    <row r="417" spans="1:10">
      <c r="A417" t="str">
        <f>VLOOKUP(Summary!M416,Summary!$P$13:$Q$24,2)</f>
        <v>B1200-plum</v>
      </c>
      <c r="B417">
        <f>ROUND(NORMINV(Summary!M418,VLOOKUP(A417,Summary!$Q$13:$S$24,3,FALSE),VLOOKUP(A417,Summary!$Q$13:$S$24,3,FALSE)/6),-1)</f>
        <v>460</v>
      </c>
      <c r="C417" t="str">
        <f>IF(AND(H417=0,C416=Summary!$P$2),Summary!$Q$2,IF(AND(H417=0,C416=Summary!$Q$2),Summary!$R$2,C416))</f>
        <v>Neesha</v>
      </c>
      <c r="D417" t="str">
        <f>IF(C417=Summary!$P$26,VLOOKUP(Summary!M424,Summary!$Q$26:$R$27,2),IF('Run Data'!C417=Summary!$P$28,VLOOKUP(Summary!M424,Summary!$Q$28:$R$29,2),VLOOKUP(Summary!M424,Summary!$Q$30:$R$32,2)))</f>
        <v>Sprig 1</v>
      </c>
      <c r="E417" t="str">
        <f>VLOOKUP(Summary!M427,Summary!$P$42:$Q$43,2)</f>
        <v>86</v>
      </c>
      <c r="F417">
        <f>IF(LEFT(A417,3)="B60",20,IF(LEFT(A417,3)="B12",30,25))+B417*0.5+INT(Summary!M430*20)</f>
        <v>273</v>
      </c>
      <c r="G417">
        <f>ROUND(IF(OR(ISERROR(FIND(Summary!$P$89,CONCATENATE(C417,D417,E417))),ISERROR(FIND(Summary!$Q$89,A417))),Summary!$R$45,IF(H417&gt;Summary!$V$3,Summary!$R$46,Summary!$R$45))*(B417+30),0)</f>
        <v>5</v>
      </c>
      <c r="H417">
        <f>IF(H416&gt;Summary!$V$4,0,H416+F416)</f>
        <v>153328</v>
      </c>
      <c r="I417" s="26">
        <f>DATE(YEAR(Summary!$V$2),MONTH(Summary!$V$2),DAY(Summary!$V$2)+INT(H417/480))</f>
        <v>43909</v>
      </c>
      <c r="J417" s="27">
        <f t="shared" si="7"/>
        <v>0.4777777777777778</v>
      </c>
    </row>
    <row r="418" spans="1:10">
      <c r="A418" t="str">
        <f>VLOOKUP(Summary!M417,Summary!$P$13:$Q$24,2)</f>
        <v>B1700-sky</v>
      </c>
      <c r="B418">
        <f>ROUND(NORMINV(Summary!M419,VLOOKUP(A418,Summary!$Q$13:$S$24,3,FALSE),VLOOKUP(A418,Summary!$Q$13:$S$24,3,FALSE)/6),-1)</f>
        <v>670</v>
      </c>
      <c r="C418" t="str">
        <f>IF(AND(H418=0,C417=Summary!$P$2),Summary!$Q$2,IF(AND(H418=0,C417=Summary!$Q$2),Summary!$R$2,C417))</f>
        <v>Neesha</v>
      </c>
      <c r="D418" t="str">
        <f>IF(C418=Summary!$P$26,VLOOKUP(Summary!M425,Summary!$Q$26:$R$27,2),IF('Run Data'!C418=Summary!$P$28,VLOOKUP(Summary!M425,Summary!$Q$28:$R$29,2),VLOOKUP(Summary!M425,Summary!$Q$30:$R$32,2)))</f>
        <v>Sprig 1</v>
      </c>
      <c r="E418" t="str">
        <f>VLOOKUP(Summary!M428,Summary!$P$42:$Q$43,2)</f>
        <v>86</v>
      </c>
      <c r="F418">
        <f>IF(LEFT(A418,3)="B60",20,IF(LEFT(A418,3)="B12",30,25))+B418*0.5+INT(Summary!M431*20)</f>
        <v>376</v>
      </c>
      <c r="G418">
        <f>ROUND(IF(OR(ISERROR(FIND(Summary!$P$89,CONCATENATE(C418,D418,E418))),ISERROR(FIND(Summary!$Q$89,A418))),Summary!$R$45,IF(H418&gt;Summary!$V$3,Summary!$R$46,Summary!$R$45))*(B418+30),0)</f>
        <v>84</v>
      </c>
      <c r="H418">
        <f>IF(H417&gt;Summary!$V$4,0,H417+F417)</f>
        <v>153601</v>
      </c>
      <c r="I418" s="26">
        <f>DATE(YEAR(Summary!$V$2),MONTH(Summary!$V$2),DAY(Summary!$V$2)+INT(H418/480))</f>
        <v>43910</v>
      </c>
      <c r="J418" s="27">
        <f t="shared" si="7"/>
        <v>0.33402777777777781</v>
      </c>
    </row>
    <row r="419" spans="1:10">
      <c r="A419" t="str">
        <f>VLOOKUP(Summary!M418,Summary!$P$13:$Q$24,2)</f>
        <v>B1200-fire</v>
      </c>
      <c r="B419">
        <f>ROUND(NORMINV(Summary!M420,VLOOKUP(A419,Summary!$Q$13:$S$24,3,FALSE),VLOOKUP(A419,Summary!$Q$13:$S$24,3,FALSE)/6),-1)</f>
        <v>1170</v>
      </c>
      <c r="C419" t="str">
        <f>IF(AND(H419=0,C418=Summary!$P$2),Summary!$Q$2,IF(AND(H419=0,C418=Summary!$Q$2),Summary!$R$2,C418))</f>
        <v>Neesha</v>
      </c>
      <c r="D419" t="str">
        <f>IF(C419=Summary!$P$26,VLOOKUP(Summary!M426,Summary!$Q$26:$R$27,2),IF('Run Data'!C419=Summary!$P$28,VLOOKUP(Summary!M426,Summary!$Q$28:$R$29,2),VLOOKUP(Summary!M426,Summary!$Q$30:$R$32,2)))</f>
        <v>Sprig 4</v>
      </c>
      <c r="E419" t="str">
        <f>VLOOKUP(Summary!M429,Summary!$P$42:$Q$43,2)</f>
        <v>86</v>
      </c>
      <c r="F419">
        <f>IF(LEFT(A419,3)="B60",20,IF(LEFT(A419,3)="B12",30,25))+B419*0.5+INT(Summary!M432*20)</f>
        <v>626</v>
      </c>
      <c r="G419">
        <f>ROUND(IF(OR(ISERROR(FIND(Summary!$P$89,CONCATENATE(C419,D419,E419))),ISERROR(FIND(Summary!$Q$89,A419))),Summary!$R$45,IF(H419&gt;Summary!$V$3,Summary!$R$46,Summary!$R$45))*(B419+30),0)</f>
        <v>12</v>
      </c>
      <c r="H419">
        <f>IF(H418&gt;Summary!$V$4,0,H418+F418)</f>
        <v>153977</v>
      </c>
      <c r="I419" s="26">
        <f>DATE(YEAR(Summary!$V$2),MONTH(Summary!$V$2),DAY(Summary!$V$2)+INT(H419/480))</f>
        <v>43910</v>
      </c>
      <c r="J419" s="27">
        <f t="shared" si="7"/>
        <v>0.59513888888888888</v>
      </c>
    </row>
    <row r="420" spans="1:10">
      <c r="A420" t="str">
        <f>VLOOKUP(Summary!M419,Summary!$P$13:$Q$24,2)</f>
        <v>B1700-fire</v>
      </c>
      <c r="B420">
        <f>ROUND(NORMINV(Summary!M421,VLOOKUP(A420,Summary!$Q$13:$S$24,3,FALSE),VLOOKUP(A420,Summary!$Q$13:$S$24,3,FALSE)/6),-1)</f>
        <v>490</v>
      </c>
      <c r="C420" t="str">
        <f>IF(AND(H420=0,C419=Summary!$P$2),Summary!$Q$2,IF(AND(H420=0,C419=Summary!$Q$2),Summary!$R$2,C419))</f>
        <v>Neesha</v>
      </c>
      <c r="D420" t="str">
        <f>IF(C420=Summary!$P$26,VLOOKUP(Summary!M427,Summary!$Q$26:$R$27,2),IF('Run Data'!C420=Summary!$P$28,VLOOKUP(Summary!M427,Summary!$Q$28:$R$29,2),VLOOKUP(Summary!M427,Summary!$Q$30:$R$32,2)))</f>
        <v>Sprig 1</v>
      </c>
      <c r="E420" t="str">
        <f>VLOOKUP(Summary!M430,Summary!$P$42:$Q$43,2)</f>
        <v>86</v>
      </c>
      <c r="F420">
        <f>IF(LEFT(A420,3)="B60",20,IF(LEFT(A420,3)="B12",30,25))+B420*0.5+INT(Summary!M433*20)</f>
        <v>279</v>
      </c>
      <c r="G420">
        <f>ROUND(IF(OR(ISERROR(FIND(Summary!$P$89,CONCATENATE(C420,D420,E420))),ISERROR(FIND(Summary!$Q$89,A420))),Summary!$R$45,IF(H420&gt;Summary!$V$3,Summary!$R$46,Summary!$R$45))*(B420+30),0)</f>
        <v>62</v>
      </c>
      <c r="H420">
        <f>IF(H419&gt;Summary!$V$4,0,H419+F419)</f>
        <v>154603</v>
      </c>
      <c r="I420" s="26">
        <f>DATE(YEAR(Summary!$V$2),MONTH(Summary!$V$2),DAY(Summary!$V$2)+INT(H420/480))</f>
        <v>43912</v>
      </c>
      <c r="J420" s="27">
        <f t="shared" si="7"/>
        <v>0.36319444444444443</v>
      </c>
    </row>
    <row r="421" spans="1:10">
      <c r="A421" t="str">
        <f>VLOOKUP(Summary!M420,Summary!$P$13:$Q$24,2)</f>
        <v>B1200-sky</v>
      </c>
      <c r="B421">
        <f>ROUND(NORMINV(Summary!M422,VLOOKUP(A421,Summary!$Q$13:$S$24,3,FALSE),VLOOKUP(A421,Summary!$Q$13:$S$24,3,FALSE)/6),-1)</f>
        <v>780</v>
      </c>
      <c r="C421" t="str">
        <f>IF(AND(H421=0,C420=Summary!$P$2),Summary!$Q$2,IF(AND(H421=0,C420=Summary!$Q$2),Summary!$R$2,C420))</f>
        <v>Neesha</v>
      </c>
      <c r="D421" t="str">
        <f>IF(C421=Summary!$P$26,VLOOKUP(Summary!M428,Summary!$Q$26:$R$27,2),IF('Run Data'!C421=Summary!$P$28,VLOOKUP(Summary!M428,Summary!$Q$28:$R$29,2),VLOOKUP(Summary!M428,Summary!$Q$30:$R$32,2)))</f>
        <v>Sprig 1</v>
      </c>
      <c r="E421" t="str">
        <f>VLOOKUP(Summary!M431,Summary!$P$42:$Q$43,2)</f>
        <v>86</v>
      </c>
      <c r="F421">
        <f>IF(LEFT(A421,3)="B60",20,IF(LEFT(A421,3)="B12",30,25))+B421*0.5+INT(Summary!M434*20)</f>
        <v>426</v>
      </c>
      <c r="G421">
        <f>ROUND(IF(OR(ISERROR(FIND(Summary!$P$89,CONCATENATE(C421,D421,E421))),ISERROR(FIND(Summary!$Q$89,A421))),Summary!$R$45,IF(H421&gt;Summary!$V$3,Summary!$R$46,Summary!$R$45))*(B421+30),0)</f>
        <v>8</v>
      </c>
      <c r="H421">
        <f>IF(H420&gt;Summary!$V$4,0,H420+F420)</f>
        <v>154882</v>
      </c>
      <c r="I421" s="26">
        <f>DATE(YEAR(Summary!$V$2),MONTH(Summary!$V$2),DAY(Summary!$V$2)+INT(H421/480))</f>
        <v>43912</v>
      </c>
      <c r="J421" s="27">
        <f t="shared" si="7"/>
        <v>0.55694444444444446</v>
      </c>
    </row>
    <row r="422" spans="1:10">
      <c r="A422" t="str">
        <f>VLOOKUP(Summary!M421,Summary!$P$13:$Q$24,2)</f>
        <v>B600-plum</v>
      </c>
      <c r="B422">
        <f>ROUND(NORMINV(Summary!M423,VLOOKUP(A422,Summary!$Q$13:$S$24,3,FALSE),VLOOKUP(A422,Summary!$Q$13:$S$24,3,FALSE)/6),-1)</f>
        <v>230</v>
      </c>
      <c r="C422" t="str">
        <f>IF(AND(H422=0,C421=Summary!$P$2),Summary!$Q$2,IF(AND(H422=0,C421=Summary!$Q$2),Summary!$R$2,C421))</f>
        <v>Neesha</v>
      </c>
      <c r="D422" t="str">
        <f>IF(C422=Summary!$P$26,VLOOKUP(Summary!M429,Summary!$Q$26:$R$27,2),IF('Run Data'!C422=Summary!$P$28,VLOOKUP(Summary!M429,Summary!$Q$28:$R$29,2),VLOOKUP(Summary!M429,Summary!$Q$30:$R$32,2)))</f>
        <v>Sprig 1</v>
      </c>
      <c r="E422" t="str">
        <f>VLOOKUP(Summary!M432,Summary!$P$42:$Q$43,2)</f>
        <v>86</v>
      </c>
      <c r="F422">
        <f>IF(LEFT(A422,3)="B60",20,IF(LEFT(A422,3)="B12",30,25))+B422*0.5+INT(Summary!M435*20)</f>
        <v>137</v>
      </c>
      <c r="G422">
        <f>ROUND(IF(OR(ISERROR(FIND(Summary!$P$89,CONCATENATE(C422,D422,E422))),ISERROR(FIND(Summary!$Q$89,A422))),Summary!$R$45,IF(H422&gt;Summary!$V$3,Summary!$R$46,Summary!$R$45))*(B422+30),0)</f>
        <v>3</v>
      </c>
      <c r="H422">
        <f>IF(H421&gt;Summary!$V$4,0,H421+F421)</f>
        <v>155308</v>
      </c>
      <c r="I422" s="26">
        <f>DATE(YEAR(Summary!$V$2),MONTH(Summary!$V$2),DAY(Summary!$V$2)+INT(H422/480))</f>
        <v>43913</v>
      </c>
      <c r="J422" s="27">
        <f t="shared" si="7"/>
        <v>0.51944444444444449</v>
      </c>
    </row>
    <row r="423" spans="1:10">
      <c r="A423" t="str">
        <f>VLOOKUP(Summary!M422,Summary!$P$13:$Q$24,2)</f>
        <v>B600-plum</v>
      </c>
      <c r="B423">
        <f>ROUND(NORMINV(Summary!M424,VLOOKUP(A423,Summary!$Q$13:$S$24,3,FALSE),VLOOKUP(A423,Summary!$Q$13:$S$24,3,FALSE)/6),-1)</f>
        <v>170</v>
      </c>
      <c r="C423" t="str">
        <f>IF(AND(H423=0,C422=Summary!$P$2),Summary!$Q$2,IF(AND(H423=0,C422=Summary!$Q$2),Summary!$R$2,C422))</f>
        <v>Neesha</v>
      </c>
      <c r="D423" t="str">
        <f>IF(C423=Summary!$P$26,VLOOKUP(Summary!M430,Summary!$Q$26:$R$27,2),IF('Run Data'!C423=Summary!$P$28,VLOOKUP(Summary!M430,Summary!$Q$28:$R$29,2),VLOOKUP(Summary!M430,Summary!$Q$30:$R$32,2)))</f>
        <v>Sprig 1</v>
      </c>
      <c r="E423" t="str">
        <f>VLOOKUP(Summary!M433,Summary!$P$42:$Q$43,2)</f>
        <v>86</v>
      </c>
      <c r="F423">
        <f>IF(LEFT(A423,3)="B60",20,IF(LEFT(A423,3)="B12",30,25))+B423*0.5+INT(Summary!M436*20)</f>
        <v>119</v>
      </c>
      <c r="G423">
        <f>ROUND(IF(OR(ISERROR(FIND(Summary!$P$89,CONCATENATE(C423,D423,E423))),ISERROR(FIND(Summary!$Q$89,A423))),Summary!$R$45,IF(H423&gt;Summary!$V$3,Summary!$R$46,Summary!$R$45))*(B423+30),0)</f>
        <v>2</v>
      </c>
      <c r="H423">
        <f>IF(H422&gt;Summary!$V$4,0,H422+F422)</f>
        <v>155445</v>
      </c>
      <c r="I423" s="26">
        <f>DATE(YEAR(Summary!$V$2),MONTH(Summary!$V$2),DAY(Summary!$V$2)+INT(H423/480))</f>
        <v>43913</v>
      </c>
      <c r="J423" s="27">
        <f t="shared" si="7"/>
        <v>0.61458333333333337</v>
      </c>
    </row>
    <row r="424" spans="1:10">
      <c r="A424" t="str">
        <f>VLOOKUP(Summary!M423,Summary!$P$13:$Q$24,2)</f>
        <v>B1700-sky</v>
      </c>
      <c r="B424">
        <f>ROUND(NORMINV(Summary!M425,VLOOKUP(A424,Summary!$Q$13:$S$24,3,FALSE),VLOOKUP(A424,Summary!$Q$13:$S$24,3,FALSE)/6),-1)</f>
        <v>510</v>
      </c>
      <c r="C424" t="str">
        <f>IF(AND(H424=0,C423=Summary!$P$2),Summary!$Q$2,IF(AND(H424=0,C423=Summary!$Q$2),Summary!$R$2,C423))</f>
        <v>Neesha</v>
      </c>
      <c r="D424" t="str">
        <f>IF(C424=Summary!$P$26,VLOOKUP(Summary!M431,Summary!$Q$26:$R$27,2),IF('Run Data'!C424=Summary!$P$28,VLOOKUP(Summary!M431,Summary!$Q$28:$R$29,2),VLOOKUP(Summary!M431,Summary!$Q$30:$R$32,2)))</f>
        <v>Sprig 4</v>
      </c>
      <c r="E424" t="str">
        <f>VLOOKUP(Summary!M434,Summary!$P$42:$Q$43,2)</f>
        <v>86</v>
      </c>
      <c r="F424">
        <f>IF(LEFT(A424,3)="B60",20,IF(LEFT(A424,3)="B12",30,25))+B424*0.5+INT(Summary!M437*20)</f>
        <v>295</v>
      </c>
      <c r="G424">
        <f>ROUND(IF(OR(ISERROR(FIND(Summary!$P$89,CONCATENATE(C424,D424,E424))),ISERROR(FIND(Summary!$Q$89,A424))),Summary!$R$45,IF(H424&gt;Summary!$V$3,Summary!$R$46,Summary!$R$45))*(B424+30),0)</f>
        <v>65</v>
      </c>
      <c r="H424">
        <f>IF(H423&gt;Summary!$V$4,0,H423+F423)</f>
        <v>155564</v>
      </c>
      <c r="I424" s="26">
        <f>DATE(YEAR(Summary!$V$2),MONTH(Summary!$V$2),DAY(Summary!$V$2)+INT(H424/480))</f>
        <v>43914</v>
      </c>
      <c r="J424" s="27">
        <f t="shared" si="7"/>
        <v>0.36388888888888887</v>
      </c>
    </row>
    <row r="425" spans="1:10">
      <c r="A425" t="str">
        <f>VLOOKUP(Summary!M424,Summary!$P$13:$Q$24,2)</f>
        <v>B600-lime</v>
      </c>
      <c r="B425">
        <f>ROUND(NORMINV(Summary!M426,VLOOKUP(A425,Summary!$Q$13:$S$24,3,FALSE),VLOOKUP(A425,Summary!$Q$13:$S$24,3,FALSE)/6),-1)</f>
        <v>400</v>
      </c>
      <c r="C425" t="str">
        <f>IF(AND(H425=0,C424=Summary!$P$2),Summary!$Q$2,IF(AND(H425=0,C424=Summary!$Q$2),Summary!$R$2,C424))</f>
        <v>Neesha</v>
      </c>
      <c r="D425" t="str">
        <f>IF(C425=Summary!$P$26,VLOOKUP(Summary!M432,Summary!$Q$26:$R$27,2),IF('Run Data'!C425=Summary!$P$28,VLOOKUP(Summary!M432,Summary!$Q$28:$R$29,2),VLOOKUP(Summary!M432,Summary!$Q$30:$R$32,2)))</f>
        <v>Sprig 1</v>
      </c>
      <c r="E425" t="str">
        <f>VLOOKUP(Summary!M435,Summary!$P$42:$Q$43,2)</f>
        <v>86</v>
      </c>
      <c r="F425">
        <f>IF(LEFT(A425,3)="B60",20,IF(LEFT(A425,3)="B12",30,25))+B425*0.5+INT(Summary!M438*20)</f>
        <v>229</v>
      </c>
      <c r="G425">
        <f>ROUND(IF(OR(ISERROR(FIND(Summary!$P$89,CONCATENATE(C425,D425,E425))),ISERROR(FIND(Summary!$Q$89,A425))),Summary!$R$45,IF(H425&gt;Summary!$V$3,Summary!$R$46,Summary!$R$45))*(B425+30),0)</f>
        <v>4</v>
      </c>
      <c r="H425">
        <f>IF(H424&gt;Summary!$V$4,0,H424+F424)</f>
        <v>155859</v>
      </c>
      <c r="I425" s="26">
        <f>DATE(YEAR(Summary!$V$2),MONTH(Summary!$V$2),DAY(Summary!$V$2)+INT(H425/480))</f>
        <v>43914</v>
      </c>
      <c r="J425" s="27">
        <f t="shared" si="7"/>
        <v>0.56874999999999998</v>
      </c>
    </row>
    <row r="426" spans="1:10">
      <c r="A426" t="str">
        <f>VLOOKUP(Summary!M425,Summary!$P$13:$Q$24,2)</f>
        <v>B1200-plum</v>
      </c>
      <c r="B426">
        <f>ROUND(NORMINV(Summary!M427,VLOOKUP(A426,Summary!$Q$13:$S$24,3,FALSE),VLOOKUP(A426,Summary!$Q$13:$S$24,3,FALSE)/6),-1)</f>
        <v>470</v>
      </c>
      <c r="C426" t="str">
        <f>IF(AND(H426=0,C425=Summary!$P$2),Summary!$Q$2,IF(AND(H426=0,C425=Summary!$Q$2),Summary!$R$2,C425))</f>
        <v>Neesha</v>
      </c>
      <c r="D426" t="str">
        <f>IF(C426=Summary!$P$26,VLOOKUP(Summary!M433,Summary!$Q$26:$R$27,2),IF('Run Data'!C426=Summary!$P$28,VLOOKUP(Summary!M433,Summary!$Q$28:$R$29,2),VLOOKUP(Summary!M433,Summary!$Q$30:$R$32,2)))</f>
        <v>Sprig 1</v>
      </c>
      <c r="E426" t="str">
        <f>VLOOKUP(Summary!M436,Summary!$P$42:$Q$43,2)</f>
        <v>86</v>
      </c>
      <c r="F426">
        <f>IF(LEFT(A426,3)="B60",20,IF(LEFT(A426,3)="B12",30,25))+B426*0.5+INT(Summary!M439*20)</f>
        <v>283</v>
      </c>
      <c r="G426">
        <f>ROUND(IF(OR(ISERROR(FIND(Summary!$P$89,CONCATENATE(C426,D426,E426))),ISERROR(FIND(Summary!$Q$89,A426))),Summary!$R$45,IF(H426&gt;Summary!$V$3,Summary!$R$46,Summary!$R$45))*(B426+30),0)</f>
        <v>5</v>
      </c>
      <c r="H426">
        <f>IF(H425&gt;Summary!$V$4,0,H425+F425)</f>
        <v>156088</v>
      </c>
      <c r="I426" s="26">
        <f>DATE(YEAR(Summary!$V$2),MONTH(Summary!$V$2),DAY(Summary!$V$2)+INT(H426/480))</f>
        <v>43915</v>
      </c>
      <c r="J426" s="27">
        <f t="shared" si="7"/>
        <v>0.39444444444444443</v>
      </c>
    </row>
    <row r="427" spans="1:10">
      <c r="A427" t="str">
        <f>VLOOKUP(Summary!M426,Summary!$P$13:$Q$24,2)</f>
        <v>B1700-lime</v>
      </c>
      <c r="B427">
        <f>ROUND(NORMINV(Summary!M428,VLOOKUP(A427,Summary!$Q$13:$S$24,3,FALSE),VLOOKUP(A427,Summary!$Q$13:$S$24,3,FALSE)/6),-1)</f>
        <v>420</v>
      </c>
      <c r="C427" t="str">
        <f>IF(AND(H427=0,C426=Summary!$P$2),Summary!$Q$2,IF(AND(H427=0,C426=Summary!$Q$2),Summary!$R$2,C426))</f>
        <v>Neesha</v>
      </c>
      <c r="D427" t="str">
        <f>IF(C427=Summary!$P$26,VLOOKUP(Summary!M434,Summary!$Q$26:$R$27,2),IF('Run Data'!C427=Summary!$P$28,VLOOKUP(Summary!M434,Summary!$Q$28:$R$29,2),VLOOKUP(Summary!M434,Summary!$Q$30:$R$32,2)))</f>
        <v>Sprig 1</v>
      </c>
      <c r="E427" t="str">
        <f>VLOOKUP(Summary!M437,Summary!$P$42:$Q$43,2)</f>
        <v>86</v>
      </c>
      <c r="F427">
        <f>IF(LEFT(A427,3)="B60",20,IF(LEFT(A427,3)="B12",30,25))+B427*0.5+INT(Summary!M440*20)</f>
        <v>244</v>
      </c>
      <c r="G427">
        <f>ROUND(IF(OR(ISERROR(FIND(Summary!$P$89,CONCATENATE(C427,D427,E427))),ISERROR(FIND(Summary!$Q$89,A427))),Summary!$R$45,IF(H427&gt;Summary!$V$3,Summary!$R$46,Summary!$R$45))*(B427+30),0)</f>
        <v>54</v>
      </c>
      <c r="H427">
        <f>IF(H426&gt;Summary!$V$4,0,H426+F426)</f>
        <v>156371</v>
      </c>
      <c r="I427" s="26">
        <f>DATE(YEAR(Summary!$V$2),MONTH(Summary!$V$2),DAY(Summary!$V$2)+INT(H427/480))</f>
        <v>43915</v>
      </c>
      <c r="J427" s="27">
        <f t="shared" si="7"/>
        <v>0.59097222222222223</v>
      </c>
    </row>
    <row r="428" spans="1:10">
      <c r="A428" t="str">
        <f>VLOOKUP(Summary!M427,Summary!$P$13:$Q$24,2)</f>
        <v>B1200-lime</v>
      </c>
      <c r="B428">
        <f>ROUND(NORMINV(Summary!M429,VLOOKUP(A428,Summary!$Q$13:$S$24,3,FALSE),VLOOKUP(A428,Summary!$Q$13:$S$24,3,FALSE)/6),-1)</f>
        <v>590</v>
      </c>
      <c r="C428" t="str">
        <f>IF(AND(H428=0,C427=Summary!$P$2),Summary!$Q$2,IF(AND(H428=0,C427=Summary!$Q$2),Summary!$R$2,C427))</f>
        <v>Neesha</v>
      </c>
      <c r="D428" t="str">
        <f>IF(C428=Summary!$P$26,VLOOKUP(Summary!M435,Summary!$Q$26:$R$27,2),IF('Run Data'!C428=Summary!$P$28,VLOOKUP(Summary!M435,Summary!$Q$28:$R$29,2),VLOOKUP(Summary!M435,Summary!$Q$30:$R$32,2)))</f>
        <v>Sprig 1</v>
      </c>
      <c r="E428" t="str">
        <f>VLOOKUP(Summary!M438,Summary!$P$42:$Q$43,2)</f>
        <v>86</v>
      </c>
      <c r="F428">
        <f>IF(LEFT(A428,3)="B60",20,IF(LEFT(A428,3)="B12",30,25))+B428*0.5+INT(Summary!M441*20)</f>
        <v>327</v>
      </c>
      <c r="G428">
        <f>ROUND(IF(OR(ISERROR(FIND(Summary!$P$89,CONCATENATE(C428,D428,E428))),ISERROR(FIND(Summary!$Q$89,A428))),Summary!$R$45,IF(H428&gt;Summary!$V$3,Summary!$R$46,Summary!$R$45))*(B428+30),0)</f>
        <v>6</v>
      </c>
      <c r="H428">
        <f>IF(H427&gt;Summary!$V$4,0,H427+F427)</f>
        <v>156615</v>
      </c>
      <c r="I428" s="26">
        <f>DATE(YEAR(Summary!$V$2),MONTH(Summary!$V$2),DAY(Summary!$V$2)+INT(H428/480))</f>
        <v>43916</v>
      </c>
      <c r="J428" s="27">
        <f t="shared" si="7"/>
        <v>0.42708333333333331</v>
      </c>
    </row>
    <row r="429" spans="1:10">
      <c r="A429" t="str">
        <f>VLOOKUP(Summary!M428,Summary!$P$13:$Q$24,2)</f>
        <v>B1200-lime</v>
      </c>
      <c r="B429">
        <f>ROUND(NORMINV(Summary!M430,VLOOKUP(A429,Summary!$Q$13:$S$24,3,FALSE),VLOOKUP(A429,Summary!$Q$13:$S$24,3,FALSE)/6),-1)</f>
        <v>870</v>
      </c>
      <c r="C429" t="str">
        <f>IF(AND(H429=0,C428=Summary!$P$2),Summary!$Q$2,IF(AND(H429=0,C428=Summary!$Q$2),Summary!$R$2,C428))</f>
        <v>Neesha</v>
      </c>
      <c r="D429" t="str">
        <f>IF(C429=Summary!$P$26,VLOOKUP(Summary!M436,Summary!$Q$26:$R$27,2),IF('Run Data'!C429=Summary!$P$28,VLOOKUP(Summary!M436,Summary!$Q$28:$R$29,2),VLOOKUP(Summary!M436,Summary!$Q$30:$R$32,2)))</f>
        <v>Sprig 1</v>
      </c>
      <c r="E429" t="str">
        <f>VLOOKUP(Summary!M439,Summary!$P$42:$Q$43,2)</f>
        <v>87b</v>
      </c>
      <c r="F429">
        <f>IF(LEFT(A429,3)="B60",20,IF(LEFT(A429,3)="B12",30,25))+B429*0.5+INT(Summary!M442*20)</f>
        <v>484</v>
      </c>
      <c r="G429">
        <f>ROUND(IF(OR(ISERROR(FIND(Summary!$P$89,CONCATENATE(C429,D429,E429))),ISERROR(FIND(Summary!$Q$89,A429))),Summary!$R$45,IF(H429&gt;Summary!$V$3,Summary!$R$46,Summary!$R$45))*(B429+30),0)</f>
        <v>9</v>
      </c>
      <c r="H429">
        <f>IF(H428&gt;Summary!$V$4,0,H428+F428)</f>
        <v>156942</v>
      </c>
      <c r="I429" s="26">
        <f>DATE(YEAR(Summary!$V$2),MONTH(Summary!$V$2),DAY(Summary!$V$2)+INT(H429/480))</f>
        <v>43916</v>
      </c>
      <c r="J429" s="27">
        <f t="shared" si="7"/>
        <v>0.65416666666666667</v>
      </c>
    </row>
    <row r="430" spans="1:10">
      <c r="A430" t="str">
        <f>VLOOKUP(Summary!M429,Summary!$P$13:$Q$24,2)</f>
        <v>B600-sky</v>
      </c>
      <c r="B430">
        <f>ROUND(NORMINV(Summary!M431,VLOOKUP(A430,Summary!$Q$13:$S$24,3,FALSE),VLOOKUP(A430,Summary!$Q$13:$S$24,3,FALSE)/6),-1)</f>
        <v>580</v>
      </c>
      <c r="C430" t="str">
        <f>IF(AND(H430=0,C429=Summary!$P$2),Summary!$Q$2,IF(AND(H430=0,C429=Summary!$Q$2),Summary!$R$2,C429))</f>
        <v>Neesha</v>
      </c>
      <c r="D430" t="str">
        <f>IF(C430=Summary!$P$26,VLOOKUP(Summary!M437,Summary!$Q$26:$R$27,2),IF('Run Data'!C430=Summary!$P$28,VLOOKUP(Summary!M437,Summary!$Q$28:$R$29,2),VLOOKUP(Summary!M437,Summary!$Q$30:$R$32,2)))</f>
        <v>Sprig 4</v>
      </c>
      <c r="E430" t="str">
        <f>VLOOKUP(Summary!M440,Summary!$P$42:$Q$43,2)</f>
        <v>86</v>
      </c>
      <c r="F430">
        <f>IF(LEFT(A430,3)="B60",20,IF(LEFT(A430,3)="B12",30,25))+B430*0.5+INT(Summary!M443*20)</f>
        <v>318</v>
      </c>
      <c r="G430">
        <f>ROUND(IF(OR(ISERROR(FIND(Summary!$P$89,CONCATENATE(C430,D430,E430))),ISERROR(FIND(Summary!$Q$89,A430))),Summary!$R$45,IF(H430&gt;Summary!$V$3,Summary!$R$46,Summary!$R$45))*(B430+30),0)</f>
        <v>6</v>
      </c>
      <c r="H430">
        <f>IF(H429&gt;Summary!$V$4,0,H429+F429)</f>
        <v>157426</v>
      </c>
      <c r="I430" s="26">
        <f>DATE(YEAR(Summary!$V$2),MONTH(Summary!$V$2),DAY(Summary!$V$2)+INT(H430/480))</f>
        <v>43917</v>
      </c>
      <c r="J430" s="27">
        <f t="shared" si="7"/>
        <v>0.65694444444444444</v>
      </c>
    </row>
    <row r="431" spans="1:10">
      <c r="A431" t="str">
        <f>VLOOKUP(Summary!M430,Summary!$P$13:$Q$24,2)</f>
        <v>B1200-lime</v>
      </c>
      <c r="B431">
        <f>ROUND(NORMINV(Summary!M432,VLOOKUP(A431,Summary!$Q$13:$S$24,3,FALSE),VLOOKUP(A431,Summary!$Q$13:$S$24,3,FALSE)/6),-1)</f>
        <v>830</v>
      </c>
      <c r="C431" t="str">
        <f>IF(AND(H431=0,C430=Summary!$P$2),Summary!$Q$2,IF(AND(H431=0,C430=Summary!$Q$2),Summary!$R$2,C430))</f>
        <v>Neesha</v>
      </c>
      <c r="D431" t="str">
        <f>IF(C431=Summary!$P$26,VLOOKUP(Summary!M438,Summary!$Q$26:$R$27,2),IF('Run Data'!C431=Summary!$P$28,VLOOKUP(Summary!M438,Summary!$Q$28:$R$29,2),VLOOKUP(Summary!M438,Summary!$Q$30:$R$32,2)))</f>
        <v>Sprig 1</v>
      </c>
      <c r="E431" t="str">
        <f>VLOOKUP(Summary!M441,Summary!$P$42:$Q$43,2)</f>
        <v>86</v>
      </c>
      <c r="F431">
        <f>IF(LEFT(A431,3)="B60",20,IF(LEFT(A431,3)="B12",30,25))+B431*0.5+INT(Summary!M444*20)</f>
        <v>453</v>
      </c>
      <c r="G431">
        <f>ROUND(IF(OR(ISERROR(FIND(Summary!$P$89,CONCATENATE(C431,D431,E431))),ISERROR(FIND(Summary!$Q$89,A431))),Summary!$R$45,IF(H431&gt;Summary!$V$3,Summary!$R$46,Summary!$R$45))*(B431+30),0)</f>
        <v>9</v>
      </c>
      <c r="H431">
        <f>IF(H430&gt;Summary!$V$4,0,H430+F430)</f>
        <v>157744</v>
      </c>
      <c r="I431" s="26">
        <f>DATE(YEAR(Summary!$V$2),MONTH(Summary!$V$2),DAY(Summary!$V$2)+INT(H431/480))</f>
        <v>43918</v>
      </c>
      <c r="J431" s="27">
        <f t="shared" si="7"/>
        <v>0.5444444444444444</v>
      </c>
    </row>
    <row r="432" spans="1:10">
      <c r="A432" t="str">
        <f>VLOOKUP(Summary!M431,Summary!$P$13:$Q$24,2)</f>
        <v>B1700-sky</v>
      </c>
      <c r="B432">
        <f>ROUND(NORMINV(Summary!M433,VLOOKUP(A432,Summary!$Q$13:$S$24,3,FALSE),VLOOKUP(A432,Summary!$Q$13:$S$24,3,FALSE)/6),-1)</f>
        <v>540</v>
      </c>
      <c r="C432" t="str">
        <f>IF(AND(H432=0,C431=Summary!$P$2),Summary!$Q$2,IF(AND(H432=0,C431=Summary!$Q$2),Summary!$R$2,C431))</f>
        <v>Neesha</v>
      </c>
      <c r="D432" t="str">
        <f>IF(C432=Summary!$P$26,VLOOKUP(Summary!M439,Summary!$Q$26:$R$27,2),IF('Run Data'!C432=Summary!$P$28,VLOOKUP(Summary!M439,Summary!$Q$28:$R$29,2),VLOOKUP(Summary!M439,Summary!$Q$30:$R$32,2)))</f>
        <v>Sprig 4</v>
      </c>
      <c r="E432" t="str">
        <f>VLOOKUP(Summary!M442,Summary!$P$42:$Q$43,2)</f>
        <v>87b</v>
      </c>
      <c r="F432">
        <f>IF(LEFT(A432,3)="B60",20,IF(LEFT(A432,3)="B12",30,25))+B432*0.5+INT(Summary!M445*20)</f>
        <v>295</v>
      </c>
      <c r="G432">
        <f>ROUND(IF(OR(ISERROR(FIND(Summary!$P$89,CONCATENATE(C432,D432,E432))),ISERROR(FIND(Summary!$Q$89,A432))),Summary!$R$45,IF(H432&gt;Summary!$V$3,Summary!$R$46,Summary!$R$45))*(B432+30),0)</f>
        <v>6</v>
      </c>
      <c r="H432">
        <f>IF(H431&gt;Summary!$V$4,0,H431+F431)</f>
        <v>158197</v>
      </c>
      <c r="I432" s="26">
        <f>DATE(YEAR(Summary!$V$2),MONTH(Summary!$V$2),DAY(Summary!$V$2)+INT(H432/480))</f>
        <v>43919</v>
      </c>
      <c r="J432" s="27">
        <f t="shared" si="7"/>
        <v>0.52569444444444446</v>
      </c>
    </row>
    <row r="433" spans="1:10">
      <c r="A433" t="str">
        <f>VLOOKUP(Summary!M432,Summary!$P$13:$Q$24,2)</f>
        <v>B1200-lime</v>
      </c>
      <c r="B433">
        <f>ROUND(NORMINV(Summary!M434,VLOOKUP(A433,Summary!$Q$13:$S$24,3,FALSE),VLOOKUP(A433,Summary!$Q$13:$S$24,3,FALSE)/6),-1)</f>
        <v>740</v>
      </c>
      <c r="C433" t="str">
        <f>IF(AND(H433=0,C432=Summary!$P$2),Summary!$Q$2,IF(AND(H433=0,C432=Summary!$Q$2),Summary!$R$2,C432))</f>
        <v>Neesha</v>
      </c>
      <c r="D433" t="str">
        <f>IF(C433=Summary!$P$26,VLOOKUP(Summary!M440,Summary!$Q$26:$R$27,2),IF('Run Data'!C433=Summary!$P$28,VLOOKUP(Summary!M440,Summary!$Q$28:$R$29,2),VLOOKUP(Summary!M440,Summary!$Q$30:$R$32,2)))</f>
        <v>Sprig 1</v>
      </c>
      <c r="E433" t="str">
        <f>VLOOKUP(Summary!M443,Summary!$P$42:$Q$43,2)</f>
        <v>86</v>
      </c>
      <c r="F433">
        <f>IF(LEFT(A433,3)="B60",20,IF(LEFT(A433,3)="B12",30,25))+B433*0.5+INT(Summary!M446*20)</f>
        <v>408</v>
      </c>
      <c r="G433">
        <f>ROUND(IF(OR(ISERROR(FIND(Summary!$P$89,CONCATENATE(C433,D433,E433))),ISERROR(FIND(Summary!$Q$89,A433))),Summary!$R$45,IF(H433&gt;Summary!$V$3,Summary!$R$46,Summary!$R$45))*(B433+30),0)</f>
        <v>8</v>
      </c>
      <c r="H433">
        <f>IF(H432&gt;Summary!$V$4,0,H432+F432)</f>
        <v>158492</v>
      </c>
      <c r="I433" s="26">
        <f>DATE(YEAR(Summary!$V$2),MONTH(Summary!$V$2),DAY(Summary!$V$2)+INT(H433/480))</f>
        <v>43920</v>
      </c>
      <c r="J433" s="27">
        <f t="shared" si="7"/>
        <v>0.3972222222222222</v>
      </c>
    </row>
    <row r="434" spans="1:10">
      <c r="A434" t="str">
        <f>VLOOKUP(Summary!M433,Summary!$P$13:$Q$24,2)</f>
        <v>B1200-fire</v>
      </c>
      <c r="B434">
        <f>ROUND(NORMINV(Summary!M435,VLOOKUP(A434,Summary!$Q$13:$S$24,3,FALSE),VLOOKUP(A434,Summary!$Q$13:$S$24,3,FALSE)/6),-1)</f>
        <v>960</v>
      </c>
      <c r="C434" t="str">
        <f>IF(AND(H434=0,C433=Summary!$P$2),Summary!$Q$2,IF(AND(H434=0,C433=Summary!$Q$2),Summary!$R$2,C433))</f>
        <v>Neesha</v>
      </c>
      <c r="D434" t="str">
        <f>IF(C434=Summary!$P$26,VLOOKUP(Summary!M441,Summary!$Q$26:$R$27,2),IF('Run Data'!C434=Summary!$P$28,VLOOKUP(Summary!M441,Summary!$Q$28:$R$29,2),VLOOKUP(Summary!M441,Summary!$Q$30:$R$32,2)))</f>
        <v>Sprig 1</v>
      </c>
      <c r="E434" t="str">
        <f>VLOOKUP(Summary!M444,Summary!$P$42:$Q$43,2)</f>
        <v>86</v>
      </c>
      <c r="F434">
        <f>IF(LEFT(A434,3)="B60",20,IF(LEFT(A434,3)="B12",30,25))+B434*0.5+INT(Summary!M447*20)</f>
        <v>511</v>
      </c>
      <c r="G434">
        <f>ROUND(IF(OR(ISERROR(FIND(Summary!$P$89,CONCATENATE(C434,D434,E434))),ISERROR(FIND(Summary!$Q$89,A434))),Summary!$R$45,IF(H434&gt;Summary!$V$3,Summary!$R$46,Summary!$R$45))*(B434+30),0)</f>
        <v>10</v>
      </c>
      <c r="H434">
        <f>IF(H433&gt;Summary!$V$4,0,H433+F433)</f>
        <v>158900</v>
      </c>
      <c r="I434" s="26">
        <f>DATE(YEAR(Summary!$V$2),MONTH(Summary!$V$2),DAY(Summary!$V$2)+INT(H434/480))</f>
        <v>43921</v>
      </c>
      <c r="J434" s="27">
        <f t="shared" si="7"/>
        <v>0.34722222222222227</v>
      </c>
    </row>
    <row r="435" spans="1:10">
      <c r="A435" t="str">
        <f>VLOOKUP(Summary!M434,Summary!$P$13:$Q$24,2)</f>
        <v>B1200-plum</v>
      </c>
      <c r="B435">
        <f>ROUND(NORMINV(Summary!M436,VLOOKUP(A435,Summary!$Q$13:$S$24,3,FALSE),VLOOKUP(A435,Summary!$Q$13:$S$24,3,FALSE)/6),-1)</f>
        <v>490</v>
      </c>
      <c r="C435" t="str">
        <f>IF(AND(H435=0,C434=Summary!$P$2),Summary!$Q$2,IF(AND(H435=0,C434=Summary!$Q$2),Summary!$R$2,C434))</f>
        <v>Neesha</v>
      </c>
      <c r="D435" t="str">
        <f>IF(C435=Summary!$P$26,VLOOKUP(Summary!M442,Summary!$Q$26:$R$27,2),IF('Run Data'!C435=Summary!$P$28,VLOOKUP(Summary!M442,Summary!$Q$28:$R$29,2),VLOOKUP(Summary!M442,Summary!$Q$30:$R$32,2)))</f>
        <v>Sprig 4</v>
      </c>
      <c r="E435" t="str">
        <f>VLOOKUP(Summary!M445,Summary!$P$42:$Q$43,2)</f>
        <v>86</v>
      </c>
      <c r="F435">
        <f>IF(LEFT(A435,3)="B60",20,IF(LEFT(A435,3)="B12",30,25))+B435*0.5+INT(Summary!M448*20)</f>
        <v>287</v>
      </c>
      <c r="G435">
        <f>ROUND(IF(OR(ISERROR(FIND(Summary!$P$89,CONCATENATE(C435,D435,E435))),ISERROR(FIND(Summary!$Q$89,A435))),Summary!$R$45,IF(H435&gt;Summary!$V$3,Summary!$R$46,Summary!$R$45))*(B435+30),0)</f>
        <v>5</v>
      </c>
      <c r="H435">
        <f>IF(H434&gt;Summary!$V$4,0,H434+F434)</f>
        <v>159411</v>
      </c>
      <c r="I435" s="26">
        <f>DATE(YEAR(Summary!$V$2),MONTH(Summary!$V$2),DAY(Summary!$V$2)+INT(H435/480))</f>
        <v>43922</v>
      </c>
      <c r="J435" s="27">
        <f t="shared" si="7"/>
        <v>0.36874999999999997</v>
      </c>
    </row>
    <row r="436" spans="1:10">
      <c r="A436" t="str">
        <f>VLOOKUP(Summary!M435,Summary!$P$13:$Q$24,2)</f>
        <v>B600-fire</v>
      </c>
      <c r="B436">
        <f>ROUND(NORMINV(Summary!M437,VLOOKUP(A436,Summary!$Q$13:$S$24,3,FALSE),VLOOKUP(A436,Summary!$Q$13:$S$24,3,FALSE)/6),-1)</f>
        <v>450</v>
      </c>
      <c r="C436" t="str">
        <f>IF(AND(H436=0,C435=Summary!$P$2),Summary!$Q$2,IF(AND(H436=0,C435=Summary!$Q$2),Summary!$R$2,C435))</f>
        <v>Neesha</v>
      </c>
      <c r="D436" t="str">
        <f>IF(C436=Summary!$P$26,VLOOKUP(Summary!M443,Summary!$Q$26:$R$27,2),IF('Run Data'!C436=Summary!$P$28,VLOOKUP(Summary!M443,Summary!$Q$28:$R$29,2),VLOOKUP(Summary!M443,Summary!$Q$30:$R$32,2)))</f>
        <v>Sprig 1</v>
      </c>
      <c r="E436" t="str">
        <f>VLOOKUP(Summary!M446,Summary!$P$42:$Q$43,2)</f>
        <v>86</v>
      </c>
      <c r="F436">
        <f>IF(LEFT(A436,3)="B60",20,IF(LEFT(A436,3)="B12",30,25))+B436*0.5+INT(Summary!M449*20)</f>
        <v>246</v>
      </c>
      <c r="G436">
        <f>ROUND(IF(OR(ISERROR(FIND(Summary!$P$89,CONCATENATE(C436,D436,E436))),ISERROR(FIND(Summary!$Q$89,A436))),Summary!$R$45,IF(H436&gt;Summary!$V$3,Summary!$R$46,Summary!$R$45))*(B436+30),0)</f>
        <v>5</v>
      </c>
      <c r="H436">
        <f>IF(H435&gt;Summary!$V$4,0,H435+F435)</f>
        <v>159698</v>
      </c>
      <c r="I436" s="26">
        <f>DATE(YEAR(Summary!$V$2),MONTH(Summary!$V$2),DAY(Summary!$V$2)+INT(H436/480))</f>
        <v>43922</v>
      </c>
      <c r="J436" s="27">
        <f t="shared" si="7"/>
        <v>0.56805555555555554</v>
      </c>
    </row>
    <row r="437" spans="1:10">
      <c r="A437" t="str">
        <f>VLOOKUP(Summary!M436,Summary!$P$13:$Q$24,2)</f>
        <v>B1700-plum</v>
      </c>
      <c r="B437">
        <f>ROUND(NORMINV(Summary!M438,VLOOKUP(A437,Summary!$Q$13:$S$24,3,FALSE),VLOOKUP(A437,Summary!$Q$13:$S$24,3,FALSE)/6),-1)</f>
        <v>300</v>
      </c>
      <c r="C437" t="str">
        <f>IF(AND(H437=0,C436=Summary!$P$2),Summary!$Q$2,IF(AND(H437=0,C436=Summary!$Q$2),Summary!$R$2,C436))</f>
        <v>Neesha</v>
      </c>
      <c r="D437" t="str">
        <f>IF(C437=Summary!$P$26,VLOOKUP(Summary!M444,Summary!$Q$26:$R$27,2),IF('Run Data'!C437=Summary!$P$28,VLOOKUP(Summary!M444,Summary!$Q$28:$R$29,2),VLOOKUP(Summary!M444,Summary!$Q$30:$R$32,2)))</f>
        <v>Sprig 1</v>
      </c>
      <c r="E437" t="str">
        <f>VLOOKUP(Summary!M447,Summary!$P$42:$Q$43,2)</f>
        <v>86</v>
      </c>
      <c r="F437">
        <f>IF(LEFT(A437,3)="B60",20,IF(LEFT(A437,3)="B12",30,25))+B437*0.5+INT(Summary!M450*20)</f>
        <v>192</v>
      </c>
      <c r="G437">
        <f>ROUND(IF(OR(ISERROR(FIND(Summary!$P$89,CONCATENATE(C437,D437,E437))),ISERROR(FIND(Summary!$Q$89,A437))),Summary!$R$45,IF(H437&gt;Summary!$V$3,Summary!$R$46,Summary!$R$45))*(B437+30),0)</f>
        <v>40</v>
      </c>
      <c r="H437">
        <f>IF(H436&gt;Summary!$V$4,0,H436+F436)</f>
        <v>159944</v>
      </c>
      <c r="I437" s="26">
        <f>DATE(YEAR(Summary!$V$2),MONTH(Summary!$V$2),DAY(Summary!$V$2)+INT(H437/480))</f>
        <v>43923</v>
      </c>
      <c r="J437" s="27">
        <f t="shared" si="7"/>
        <v>0.4055555555555555</v>
      </c>
    </row>
    <row r="438" spans="1:10">
      <c r="A438" t="str">
        <f>VLOOKUP(Summary!M437,Summary!$P$13:$Q$24,2)</f>
        <v>B1700-plum</v>
      </c>
      <c r="B438">
        <f>ROUND(NORMINV(Summary!M439,VLOOKUP(A438,Summary!$Q$13:$S$24,3,FALSE),VLOOKUP(A438,Summary!$Q$13:$S$24,3,FALSE)/6),-1)</f>
        <v>370</v>
      </c>
      <c r="C438" t="str">
        <f>IF(AND(H438=0,C437=Summary!$P$2),Summary!$Q$2,IF(AND(H438=0,C437=Summary!$Q$2),Summary!$R$2,C437))</f>
        <v>Neesha</v>
      </c>
      <c r="D438" t="str">
        <f>IF(C438=Summary!$P$26,VLOOKUP(Summary!M445,Summary!$Q$26:$R$27,2),IF('Run Data'!C438=Summary!$P$28,VLOOKUP(Summary!M445,Summary!$Q$28:$R$29,2),VLOOKUP(Summary!M445,Summary!$Q$30:$R$32,2)))</f>
        <v>Sprig 1</v>
      </c>
      <c r="E438" t="str">
        <f>VLOOKUP(Summary!M448,Summary!$P$42:$Q$43,2)</f>
        <v>86</v>
      </c>
      <c r="F438">
        <f>IF(LEFT(A438,3)="B60",20,IF(LEFT(A438,3)="B12",30,25))+B438*0.5+INT(Summary!M451*20)</f>
        <v>220</v>
      </c>
      <c r="G438">
        <f>ROUND(IF(OR(ISERROR(FIND(Summary!$P$89,CONCATENATE(C438,D438,E438))),ISERROR(FIND(Summary!$Q$89,A438))),Summary!$R$45,IF(H438&gt;Summary!$V$3,Summary!$R$46,Summary!$R$45))*(B438+30),0)</f>
        <v>48</v>
      </c>
      <c r="H438">
        <f>IF(H437&gt;Summary!$V$4,0,H437+F437)</f>
        <v>160136</v>
      </c>
      <c r="I438" s="26">
        <f>DATE(YEAR(Summary!$V$2),MONTH(Summary!$V$2),DAY(Summary!$V$2)+INT(H438/480))</f>
        <v>43923</v>
      </c>
      <c r="J438" s="27">
        <f t="shared" si="7"/>
        <v>0.53888888888888886</v>
      </c>
    </row>
    <row r="439" spans="1:10">
      <c r="A439" t="str">
        <f>VLOOKUP(Summary!M438,Summary!$P$13:$Q$24,2)</f>
        <v>B1200-fire</v>
      </c>
      <c r="B439">
        <f>ROUND(NORMINV(Summary!M440,VLOOKUP(A439,Summary!$Q$13:$S$24,3,FALSE),VLOOKUP(A439,Summary!$Q$13:$S$24,3,FALSE)/6),-1)</f>
        <v>1180</v>
      </c>
      <c r="C439" t="str">
        <f>IF(AND(H439=0,C438=Summary!$P$2),Summary!$Q$2,IF(AND(H439=0,C438=Summary!$Q$2),Summary!$R$2,C438))</f>
        <v>Neesha</v>
      </c>
      <c r="D439" t="str">
        <f>IF(C439=Summary!$P$26,VLOOKUP(Summary!M446,Summary!$Q$26:$R$27,2),IF('Run Data'!C439=Summary!$P$28,VLOOKUP(Summary!M446,Summary!$Q$28:$R$29,2),VLOOKUP(Summary!M446,Summary!$Q$30:$R$32,2)))</f>
        <v>Sprig 1</v>
      </c>
      <c r="E439" t="str">
        <f>VLOOKUP(Summary!M449,Summary!$P$42:$Q$43,2)</f>
        <v>86</v>
      </c>
      <c r="F439">
        <f>IF(LEFT(A439,3)="B60",20,IF(LEFT(A439,3)="B12",30,25))+B439*0.5+INT(Summary!M452*20)</f>
        <v>639</v>
      </c>
      <c r="G439">
        <f>ROUND(IF(OR(ISERROR(FIND(Summary!$P$89,CONCATENATE(C439,D439,E439))),ISERROR(FIND(Summary!$Q$89,A439))),Summary!$R$45,IF(H439&gt;Summary!$V$3,Summary!$R$46,Summary!$R$45))*(B439+30),0)</f>
        <v>12</v>
      </c>
      <c r="H439">
        <f>IF(H438&gt;Summary!$V$4,0,H438+F438)</f>
        <v>160356</v>
      </c>
      <c r="I439" s="26">
        <f>DATE(YEAR(Summary!$V$2),MONTH(Summary!$V$2),DAY(Summary!$V$2)+INT(H439/480))</f>
        <v>43924</v>
      </c>
      <c r="J439" s="27">
        <f t="shared" si="7"/>
        <v>0.35833333333333334</v>
      </c>
    </row>
    <row r="440" spans="1:10">
      <c r="A440" t="str">
        <f>VLOOKUP(Summary!M439,Summary!$P$13:$Q$24,2)</f>
        <v>B1700-lime</v>
      </c>
      <c r="B440">
        <f>ROUND(NORMINV(Summary!M441,VLOOKUP(A440,Summary!$Q$13:$S$24,3,FALSE),VLOOKUP(A440,Summary!$Q$13:$S$24,3,FALSE)/6),-1)</f>
        <v>320</v>
      </c>
      <c r="C440" t="str">
        <f>IF(AND(H440=0,C439=Summary!$P$2),Summary!$Q$2,IF(AND(H440=0,C439=Summary!$Q$2),Summary!$R$2,C439))</f>
        <v>Neesha</v>
      </c>
      <c r="D440" t="str">
        <f>IF(C440=Summary!$P$26,VLOOKUP(Summary!M447,Summary!$Q$26:$R$27,2),IF('Run Data'!C440=Summary!$P$28,VLOOKUP(Summary!M447,Summary!$Q$28:$R$29,2),VLOOKUP(Summary!M447,Summary!$Q$30:$R$32,2)))</f>
        <v>Sprig 1</v>
      </c>
      <c r="E440" t="str">
        <f>VLOOKUP(Summary!M450,Summary!$P$42:$Q$43,2)</f>
        <v>87b</v>
      </c>
      <c r="F440">
        <f>IF(LEFT(A440,3)="B60",20,IF(LEFT(A440,3)="B12",30,25))+B440*0.5+INT(Summary!M453*20)</f>
        <v>204</v>
      </c>
      <c r="G440">
        <f>ROUND(IF(OR(ISERROR(FIND(Summary!$P$89,CONCATENATE(C440,D440,E440))),ISERROR(FIND(Summary!$Q$89,A440))),Summary!$R$45,IF(H440&gt;Summary!$V$3,Summary!$R$46,Summary!$R$45))*(B440+30),0)</f>
        <v>4</v>
      </c>
      <c r="H440">
        <f>IF(H439&gt;Summary!$V$4,0,H439+F439)</f>
        <v>160995</v>
      </c>
      <c r="I440" s="26">
        <f>DATE(YEAR(Summary!$V$2),MONTH(Summary!$V$2),DAY(Summary!$V$2)+INT(H440/480))</f>
        <v>43925</v>
      </c>
      <c r="J440" s="27">
        <f t="shared" si="7"/>
        <v>0.46875</v>
      </c>
    </row>
    <row r="441" spans="1:10">
      <c r="A441" t="str">
        <f>VLOOKUP(Summary!M440,Summary!$P$13:$Q$24,2)</f>
        <v>B1200-fire</v>
      </c>
      <c r="B441">
        <f>ROUND(NORMINV(Summary!M442,VLOOKUP(A441,Summary!$Q$13:$S$24,3,FALSE),VLOOKUP(A441,Summary!$Q$13:$S$24,3,FALSE)/6),-1)</f>
        <v>1530</v>
      </c>
      <c r="C441" t="str">
        <f>IF(AND(H441=0,C440=Summary!$P$2),Summary!$Q$2,IF(AND(H441=0,C440=Summary!$Q$2),Summary!$R$2,C440))</f>
        <v>Neesha</v>
      </c>
      <c r="D441" t="str">
        <f>IF(C441=Summary!$P$26,VLOOKUP(Summary!M448,Summary!$Q$26:$R$27,2),IF('Run Data'!C441=Summary!$P$28,VLOOKUP(Summary!M448,Summary!$Q$28:$R$29,2),VLOOKUP(Summary!M448,Summary!$Q$30:$R$32,2)))</f>
        <v>Sprig 1</v>
      </c>
      <c r="E441" t="str">
        <f>VLOOKUP(Summary!M451,Summary!$P$42:$Q$43,2)</f>
        <v>86</v>
      </c>
      <c r="F441">
        <f>IF(LEFT(A441,3)="B60",20,IF(LEFT(A441,3)="B12",30,25))+B441*0.5+INT(Summary!M454*20)</f>
        <v>800</v>
      </c>
      <c r="G441">
        <f>ROUND(IF(OR(ISERROR(FIND(Summary!$P$89,CONCATENATE(C441,D441,E441))),ISERROR(FIND(Summary!$Q$89,A441))),Summary!$R$45,IF(H441&gt;Summary!$V$3,Summary!$R$46,Summary!$R$45))*(B441+30),0)</f>
        <v>16</v>
      </c>
      <c r="H441">
        <f>IF(H440&gt;Summary!$V$4,0,H440+F440)</f>
        <v>161199</v>
      </c>
      <c r="I441" s="26">
        <f>DATE(YEAR(Summary!$V$2),MONTH(Summary!$V$2),DAY(Summary!$V$2)+INT(H441/480))</f>
        <v>43925</v>
      </c>
      <c r="J441" s="27">
        <f t="shared" si="7"/>
        <v>0.61041666666666672</v>
      </c>
    </row>
    <row r="442" spans="1:10">
      <c r="A442" t="str">
        <f>VLOOKUP(Summary!M441,Summary!$P$13:$Q$24,2)</f>
        <v>B600-fire</v>
      </c>
      <c r="B442">
        <f>ROUND(NORMINV(Summary!M443,VLOOKUP(A442,Summary!$Q$13:$S$24,3,FALSE),VLOOKUP(A442,Summary!$Q$13:$S$24,3,FALSE)/6),-1)</f>
        <v>390</v>
      </c>
      <c r="C442" t="str">
        <f>IF(AND(H442=0,C441=Summary!$P$2),Summary!$Q$2,IF(AND(H442=0,C441=Summary!$Q$2),Summary!$R$2,C441))</f>
        <v>Neesha</v>
      </c>
      <c r="D442" t="str">
        <f>IF(C442=Summary!$P$26,VLOOKUP(Summary!M449,Summary!$Q$26:$R$27,2),IF('Run Data'!C442=Summary!$P$28,VLOOKUP(Summary!M449,Summary!$Q$28:$R$29,2),VLOOKUP(Summary!M449,Summary!$Q$30:$R$32,2)))</f>
        <v>Sprig 1</v>
      </c>
      <c r="E442" t="str">
        <f>VLOOKUP(Summary!M452,Summary!$P$42:$Q$43,2)</f>
        <v>87b</v>
      </c>
      <c r="F442">
        <f>IF(LEFT(A442,3)="B60",20,IF(LEFT(A442,3)="B12",30,25))+B442*0.5+INT(Summary!M455*20)</f>
        <v>230</v>
      </c>
      <c r="G442">
        <f>ROUND(IF(OR(ISERROR(FIND(Summary!$P$89,CONCATENATE(C442,D442,E442))),ISERROR(FIND(Summary!$Q$89,A442))),Summary!$R$45,IF(H442&gt;Summary!$V$3,Summary!$R$46,Summary!$R$45))*(B442+30),0)</f>
        <v>4</v>
      </c>
      <c r="H442">
        <f>IF(H441&gt;Summary!$V$4,0,H441+F441)</f>
        <v>161999</v>
      </c>
      <c r="I442" s="26">
        <f>DATE(YEAR(Summary!$V$2),MONTH(Summary!$V$2),DAY(Summary!$V$2)+INT(H442/480))</f>
        <v>43927</v>
      </c>
      <c r="J442" s="27">
        <f t="shared" si="7"/>
        <v>0.4993055555555555</v>
      </c>
    </row>
    <row r="443" spans="1:10">
      <c r="A443" t="str">
        <f>VLOOKUP(Summary!M442,Summary!$P$13:$Q$24,2)</f>
        <v>B1700-lime</v>
      </c>
      <c r="B443">
        <f>ROUND(NORMINV(Summary!M444,VLOOKUP(A443,Summary!$Q$13:$S$24,3,FALSE),VLOOKUP(A443,Summary!$Q$13:$S$24,3,FALSE)/6),-1)</f>
        <v>390</v>
      </c>
      <c r="C443" t="str">
        <f>IF(AND(H443=0,C442=Summary!$P$2),Summary!$Q$2,IF(AND(H443=0,C442=Summary!$Q$2),Summary!$R$2,C442))</f>
        <v>Neesha</v>
      </c>
      <c r="D443" t="str">
        <f>IF(C443=Summary!$P$26,VLOOKUP(Summary!M450,Summary!$Q$26:$R$27,2),IF('Run Data'!C443=Summary!$P$28,VLOOKUP(Summary!M450,Summary!$Q$28:$R$29,2),VLOOKUP(Summary!M450,Summary!$Q$30:$R$32,2)))</f>
        <v>Sprig 4</v>
      </c>
      <c r="E443" t="str">
        <f>VLOOKUP(Summary!M453,Summary!$P$42:$Q$43,2)</f>
        <v>87b</v>
      </c>
      <c r="F443">
        <f>IF(LEFT(A443,3)="B60",20,IF(LEFT(A443,3)="B12",30,25))+B443*0.5+INT(Summary!M456*20)</f>
        <v>238</v>
      </c>
      <c r="G443">
        <f>ROUND(IF(OR(ISERROR(FIND(Summary!$P$89,CONCATENATE(C443,D443,E443))),ISERROR(FIND(Summary!$Q$89,A443))),Summary!$R$45,IF(H443&gt;Summary!$V$3,Summary!$R$46,Summary!$R$45))*(B443+30),0)</f>
        <v>4</v>
      </c>
      <c r="H443">
        <f>IF(H442&gt;Summary!$V$4,0,H442+F442)</f>
        <v>162229</v>
      </c>
      <c r="I443" s="26">
        <f>DATE(YEAR(Summary!$V$2),MONTH(Summary!$V$2),DAY(Summary!$V$2)+INT(H443/480))</f>
        <v>43927</v>
      </c>
      <c r="J443" s="27">
        <f t="shared" si="7"/>
        <v>0.65902777777777777</v>
      </c>
    </row>
    <row r="444" spans="1:10">
      <c r="A444" t="str">
        <f>VLOOKUP(Summary!M443,Summary!$P$13:$Q$24,2)</f>
        <v>B1200-sky</v>
      </c>
      <c r="B444">
        <f>ROUND(NORMINV(Summary!M445,VLOOKUP(A444,Summary!$Q$13:$S$24,3,FALSE),VLOOKUP(A444,Summary!$Q$13:$S$24,3,FALSE)/6),-1)</f>
        <v>840</v>
      </c>
      <c r="C444" t="str">
        <f>IF(AND(H444=0,C443=Summary!$P$2),Summary!$Q$2,IF(AND(H444=0,C443=Summary!$Q$2),Summary!$R$2,C443))</f>
        <v>Neesha</v>
      </c>
      <c r="D444" t="str">
        <f>IF(C444=Summary!$P$26,VLOOKUP(Summary!M451,Summary!$Q$26:$R$27,2),IF('Run Data'!C444=Summary!$P$28,VLOOKUP(Summary!M451,Summary!$Q$28:$R$29,2),VLOOKUP(Summary!M451,Summary!$Q$30:$R$32,2)))</f>
        <v>Sprig 1</v>
      </c>
      <c r="E444" t="str">
        <f>VLOOKUP(Summary!M454,Summary!$P$42:$Q$43,2)</f>
        <v>86</v>
      </c>
      <c r="F444">
        <f>IF(LEFT(A444,3)="B60",20,IF(LEFT(A444,3)="B12",30,25))+B444*0.5+INT(Summary!M457*20)</f>
        <v>458</v>
      </c>
      <c r="G444">
        <f>ROUND(IF(OR(ISERROR(FIND(Summary!$P$89,CONCATENATE(C444,D444,E444))),ISERROR(FIND(Summary!$Q$89,A444))),Summary!$R$45,IF(H444&gt;Summary!$V$3,Summary!$R$46,Summary!$R$45))*(B444+30),0)</f>
        <v>9</v>
      </c>
      <c r="H444">
        <f>IF(H443&gt;Summary!$V$4,0,H443+F443)</f>
        <v>162467</v>
      </c>
      <c r="I444" s="26">
        <f>DATE(YEAR(Summary!$V$2),MONTH(Summary!$V$2),DAY(Summary!$V$2)+INT(H444/480))</f>
        <v>43928</v>
      </c>
      <c r="J444" s="27">
        <f t="shared" si="7"/>
        <v>0.4909722222222222</v>
      </c>
    </row>
    <row r="445" spans="1:10">
      <c r="A445" t="str">
        <f>VLOOKUP(Summary!M444,Summary!$P$13:$Q$24,2)</f>
        <v>B1200-sky</v>
      </c>
      <c r="B445">
        <f>ROUND(NORMINV(Summary!M446,VLOOKUP(A445,Summary!$Q$13:$S$24,3,FALSE),VLOOKUP(A445,Summary!$Q$13:$S$24,3,FALSE)/6),-1)</f>
        <v>1150</v>
      </c>
      <c r="C445" t="str">
        <f>IF(AND(H445=0,C444=Summary!$P$2),Summary!$Q$2,IF(AND(H445=0,C444=Summary!$Q$2),Summary!$R$2,C444))</f>
        <v>Neesha</v>
      </c>
      <c r="D445" t="str">
        <f>IF(C445=Summary!$P$26,VLOOKUP(Summary!M452,Summary!$Q$26:$R$27,2),IF('Run Data'!C445=Summary!$P$28,VLOOKUP(Summary!M452,Summary!$Q$28:$R$29,2),VLOOKUP(Summary!M452,Summary!$Q$30:$R$32,2)))</f>
        <v>Sprig 4</v>
      </c>
      <c r="E445" t="str">
        <f>VLOOKUP(Summary!M455,Summary!$P$42:$Q$43,2)</f>
        <v>86</v>
      </c>
      <c r="F445">
        <f>IF(LEFT(A445,3)="B60",20,IF(LEFT(A445,3)="B12",30,25))+B445*0.5+INT(Summary!M458*20)</f>
        <v>623</v>
      </c>
      <c r="G445">
        <f>ROUND(IF(OR(ISERROR(FIND(Summary!$P$89,CONCATENATE(C445,D445,E445))),ISERROR(FIND(Summary!$Q$89,A445))),Summary!$R$45,IF(H445&gt;Summary!$V$3,Summary!$R$46,Summary!$R$45))*(B445+30),0)</f>
        <v>12</v>
      </c>
      <c r="H445">
        <f>IF(H444&gt;Summary!$V$4,0,H444+F444)</f>
        <v>162925</v>
      </c>
      <c r="I445" s="26">
        <f>DATE(YEAR(Summary!$V$2),MONTH(Summary!$V$2),DAY(Summary!$V$2)+INT(H445/480))</f>
        <v>43929</v>
      </c>
      <c r="J445" s="27">
        <f t="shared" si="7"/>
        <v>0.47569444444444442</v>
      </c>
    </row>
    <row r="446" spans="1:10">
      <c r="A446" t="str">
        <f>VLOOKUP(Summary!M445,Summary!$P$13:$Q$24,2)</f>
        <v>B600-plum</v>
      </c>
      <c r="B446">
        <f>ROUND(NORMINV(Summary!M447,VLOOKUP(A446,Summary!$Q$13:$S$24,3,FALSE),VLOOKUP(A446,Summary!$Q$13:$S$24,3,FALSE)/6),-1)</f>
        <v>150</v>
      </c>
      <c r="C446" t="str">
        <f>IF(AND(H446=0,C445=Summary!$P$2),Summary!$Q$2,IF(AND(H446=0,C445=Summary!$Q$2),Summary!$R$2,C445))</f>
        <v>Neesha</v>
      </c>
      <c r="D446" t="str">
        <f>IF(C446=Summary!$P$26,VLOOKUP(Summary!M453,Summary!$Q$26:$R$27,2),IF('Run Data'!C446=Summary!$P$28,VLOOKUP(Summary!M453,Summary!$Q$28:$R$29,2),VLOOKUP(Summary!M453,Summary!$Q$30:$R$32,2)))</f>
        <v>Sprig 4</v>
      </c>
      <c r="E446" t="str">
        <f>VLOOKUP(Summary!M456,Summary!$P$42:$Q$43,2)</f>
        <v>87b</v>
      </c>
      <c r="F446">
        <f>IF(LEFT(A446,3)="B60",20,IF(LEFT(A446,3)="B12",30,25))+B446*0.5+INT(Summary!M459*20)</f>
        <v>102</v>
      </c>
      <c r="G446">
        <f>ROUND(IF(OR(ISERROR(FIND(Summary!$P$89,CONCATENATE(C446,D446,E446))),ISERROR(FIND(Summary!$Q$89,A446))),Summary!$R$45,IF(H446&gt;Summary!$V$3,Summary!$R$46,Summary!$R$45))*(B446+30),0)</f>
        <v>2</v>
      </c>
      <c r="H446">
        <f>IF(H445&gt;Summary!$V$4,0,H445+F445)</f>
        <v>163548</v>
      </c>
      <c r="I446" s="26">
        <f>DATE(YEAR(Summary!$V$2),MONTH(Summary!$V$2),DAY(Summary!$V$2)+INT(H446/480))</f>
        <v>43930</v>
      </c>
      <c r="J446" s="27">
        <f t="shared" si="7"/>
        <v>0.57500000000000007</v>
      </c>
    </row>
    <row r="447" spans="1:10">
      <c r="A447" t="str">
        <f>VLOOKUP(Summary!M446,Summary!$P$13:$Q$24,2)</f>
        <v>B1200-sky</v>
      </c>
      <c r="B447">
        <f>ROUND(NORMINV(Summary!M448,VLOOKUP(A447,Summary!$Q$13:$S$24,3,FALSE),VLOOKUP(A447,Summary!$Q$13:$S$24,3,FALSE)/6),-1)</f>
        <v>1260</v>
      </c>
      <c r="C447" t="str">
        <f>IF(AND(H447=0,C446=Summary!$P$2),Summary!$Q$2,IF(AND(H447=0,C446=Summary!$Q$2),Summary!$R$2,C446))</f>
        <v>Neesha</v>
      </c>
      <c r="D447" t="str">
        <f>IF(C447=Summary!$P$26,VLOOKUP(Summary!M454,Summary!$Q$26:$R$27,2),IF('Run Data'!C447=Summary!$P$28,VLOOKUP(Summary!M454,Summary!$Q$28:$R$29,2),VLOOKUP(Summary!M454,Summary!$Q$30:$R$32,2)))</f>
        <v>Sprig 1</v>
      </c>
      <c r="E447" t="str">
        <f>VLOOKUP(Summary!M457,Summary!$P$42:$Q$43,2)</f>
        <v>86</v>
      </c>
      <c r="F447">
        <f>IF(LEFT(A447,3)="B60",20,IF(LEFT(A447,3)="B12",30,25))+B447*0.5+INT(Summary!M460*20)</f>
        <v>667</v>
      </c>
      <c r="G447">
        <f>ROUND(IF(OR(ISERROR(FIND(Summary!$P$89,CONCATENATE(C447,D447,E447))),ISERROR(FIND(Summary!$Q$89,A447))),Summary!$R$45,IF(H447&gt;Summary!$V$3,Summary!$R$46,Summary!$R$45))*(B447+30),0)</f>
        <v>13</v>
      </c>
      <c r="H447">
        <f>IF(H446&gt;Summary!$V$4,0,H446+F446)</f>
        <v>163650</v>
      </c>
      <c r="I447" s="26">
        <f>DATE(YEAR(Summary!$V$2),MONTH(Summary!$V$2),DAY(Summary!$V$2)+INT(H447/480))</f>
        <v>43930</v>
      </c>
      <c r="J447" s="27">
        <f t="shared" si="7"/>
        <v>0.64583333333333337</v>
      </c>
    </row>
    <row r="448" spans="1:10">
      <c r="A448" t="str">
        <f>VLOOKUP(Summary!M447,Summary!$P$13:$Q$24,2)</f>
        <v>B600-sky</v>
      </c>
      <c r="B448">
        <f>ROUND(NORMINV(Summary!M449,VLOOKUP(A448,Summary!$Q$13:$S$24,3,FALSE),VLOOKUP(A448,Summary!$Q$13:$S$24,3,FALSE)/6),-1)</f>
        <v>380</v>
      </c>
      <c r="C448" t="str">
        <f>IF(AND(H448=0,C447=Summary!$P$2),Summary!$Q$2,IF(AND(H448=0,C447=Summary!$Q$2),Summary!$R$2,C447))</f>
        <v>Neesha</v>
      </c>
      <c r="D448" t="str">
        <f>IF(C448=Summary!$P$26,VLOOKUP(Summary!M455,Summary!$Q$26:$R$27,2),IF('Run Data'!C448=Summary!$P$28,VLOOKUP(Summary!M455,Summary!$Q$28:$R$29,2),VLOOKUP(Summary!M455,Summary!$Q$30:$R$32,2)))</f>
        <v>Sprig 4</v>
      </c>
      <c r="E448" t="str">
        <f>VLOOKUP(Summary!M458,Summary!$P$42:$Q$43,2)</f>
        <v>87b</v>
      </c>
      <c r="F448">
        <f>IF(LEFT(A448,3)="B60",20,IF(LEFT(A448,3)="B12",30,25))+B448*0.5+INT(Summary!M461*20)</f>
        <v>212</v>
      </c>
      <c r="G448">
        <f>ROUND(IF(OR(ISERROR(FIND(Summary!$P$89,CONCATENATE(C448,D448,E448))),ISERROR(FIND(Summary!$Q$89,A448))),Summary!$R$45,IF(H448&gt;Summary!$V$3,Summary!$R$46,Summary!$R$45))*(B448+30),0)</f>
        <v>4</v>
      </c>
      <c r="H448">
        <f>IF(H447&gt;Summary!$V$4,0,H447+F447)</f>
        <v>164317</v>
      </c>
      <c r="I448" s="26">
        <f>DATE(YEAR(Summary!$V$2),MONTH(Summary!$V$2),DAY(Summary!$V$2)+INT(H448/480))</f>
        <v>43932</v>
      </c>
      <c r="J448" s="27">
        <f t="shared" si="7"/>
        <v>0.44236111111111115</v>
      </c>
    </row>
    <row r="449" spans="1:10">
      <c r="A449" t="str">
        <f>VLOOKUP(Summary!M448,Summary!$P$13:$Q$24,2)</f>
        <v>B1200-lime</v>
      </c>
      <c r="B449">
        <f>ROUND(NORMINV(Summary!M450,VLOOKUP(A449,Summary!$Q$13:$S$24,3,FALSE),VLOOKUP(A449,Summary!$Q$13:$S$24,3,FALSE)/6),-1)</f>
        <v>970</v>
      </c>
      <c r="C449" t="str">
        <f>IF(AND(H449=0,C448=Summary!$P$2),Summary!$Q$2,IF(AND(H449=0,C448=Summary!$Q$2),Summary!$R$2,C448))</f>
        <v>Neesha</v>
      </c>
      <c r="D449" t="str">
        <f>IF(C449=Summary!$P$26,VLOOKUP(Summary!M456,Summary!$Q$26:$R$27,2),IF('Run Data'!C449=Summary!$P$28,VLOOKUP(Summary!M456,Summary!$Q$28:$R$29,2),VLOOKUP(Summary!M456,Summary!$Q$30:$R$32,2)))</f>
        <v>Sprig 4</v>
      </c>
      <c r="E449" t="str">
        <f>VLOOKUP(Summary!M459,Summary!$P$42:$Q$43,2)</f>
        <v>86</v>
      </c>
      <c r="F449">
        <f>IF(LEFT(A449,3)="B60",20,IF(LEFT(A449,3)="B12",30,25))+B449*0.5+INT(Summary!M462*20)</f>
        <v>522</v>
      </c>
      <c r="G449">
        <f>ROUND(IF(OR(ISERROR(FIND(Summary!$P$89,CONCATENATE(C449,D449,E449))),ISERROR(FIND(Summary!$Q$89,A449))),Summary!$R$45,IF(H449&gt;Summary!$V$3,Summary!$R$46,Summary!$R$45))*(B449+30),0)</f>
        <v>10</v>
      </c>
      <c r="H449">
        <f>IF(H448&gt;Summary!$V$4,0,H448+F448)</f>
        <v>164529</v>
      </c>
      <c r="I449" s="26">
        <f>DATE(YEAR(Summary!$V$2),MONTH(Summary!$V$2),DAY(Summary!$V$2)+INT(H449/480))</f>
        <v>43932</v>
      </c>
      <c r="J449" s="27">
        <f t="shared" si="7"/>
        <v>0.58958333333333335</v>
      </c>
    </row>
    <row r="450" spans="1:10">
      <c r="A450" t="str">
        <f>VLOOKUP(Summary!M449,Summary!$P$13:$Q$24,2)</f>
        <v>B600-sky</v>
      </c>
      <c r="B450">
        <f>ROUND(NORMINV(Summary!M451,VLOOKUP(A450,Summary!$Q$13:$S$24,3,FALSE),VLOOKUP(A450,Summary!$Q$13:$S$24,3,FALSE)/6),-1)</f>
        <v>500</v>
      </c>
      <c r="C450" t="str">
        <f>IF(AND(H450=0,C449=Summary!$P$2),Summary!$Q$2,IF(AND(H450=0,C449=Summary!$Q$2),Summary!$R$2,C449))</f>
        <v>Neesha</v>
      </c>
      <c r="D450" t="str">
        <f>IF(C450=Summary!$P$26,VLOOKUP(Summary!M457,Summary!$Q$26:$R$27,2),IF('Run Data'!C450=Summary!$P$28,VLOOKUP(Summary!M457,Summary!$Q$28:$R$29,2),VLOOKUP(Summary!M457,Summary!$Q$30:$R$32,2)))</f>
        <v>Sprig 1</v>
      </c>
      <c r="E450" t="str">
        <f>VLOOKUP(Summary!M460,Summary!$P$42:$Q$43,2)</f>
        <v>86</v>
      </c>
      <c r="F450">
        <f>IF(LEFT(A450,3)="B60",20,IF(LEFT(A450,3)="B12",30,25))+B450*0.5+INT(Summary!M463*20)</f>
        <v>284</v>
      </c>
      <c r="G450">
        <f>ROUND(IF(OR(ISERROR(FIND(Summary!$P$89,CONCATENATE(C450,D450,E450))),ISERROR(FIND(Summary!$Q$89,A450))),Summary!$R$45,IF(H450&gt;Summary!$V$3,Summary!$R$46,Summary!$R$45))*(B450+30),0)</f>
        <v>5</v>
      </c>
      <c r="H450">
        <f>IF(H449&gt;Summary!$V$4,0,H449+F449)</f>
        <v>165051</v>
      </c>
      <c r="I450" s="26">
        <f>DATE(YEAR(Summary!$V$2),MONTH(Summary!$V$2),DAY(Summary!$V$2)+INT(H450/480))</f>
        <v>43933</v>
      </c>
      <c r="J450" s="27">
        <f t="shared" si="7"/>
        <v>0.61875000000000002</v>
      </c>
    </row>
    <row r="451" spans="1:10">
      <c r="A451" t="str">
        <f>VLOOKUP(Summary!M450,Summary!$P$13:$Q$24,2)</f>
        <v>B1700-fire</v>
      </c>
      <c r="B451">
        <f>ROUND(NORMINV(Summary!M452,VLOOKUP(A451,Summary!$Q$13:$S$24,3,FALSE),VLOOKUP(A451,Summary!$Q$13:$S$24,3,FALSE)/6),-1)</f>
        <v>1000</v>
      </c>
      <c r="C451" t="str">
        <f>IF(AND(H451=0,C450=Summary!$P$2),Summary!$Q$2,IF(AND(H451=0,C450=Summary!$Q$2),Summary!$R$2,C450))</f>
        <v>Neesha</v>
      </c>
      <c r="D451" t="str">
        <f>IF(C451=Summary!$P$26,VLOOKUP(Summary!M458,Summary!$Q$26:$R$27,2),IF('Run Data'!C451=Summary!$P$28,VLOOKUP(Summary!M458,Summary!$Q$28:$R$29,2),VLOOKUP(Summary!M458,Summary!$Q$30:$R$32,2)))</f>
        <v>Sprig 4</v>
      </c>
      <c r="E451" t="str">
        <f>VLOOKUP(Summary!M461,Summary!$P$42:$Q$43,2)</f>
        <v>86</v>
      </c>
      <c r="F451">
        <f>IF(LEFT(A451,3)="B60",20,IF(LEFT(A451,3)="B12",30,25))+B451*0.5+INT(Summary!M464*20)</f>
        <v>540</v>
      </c>
      <c r="G451">
        <f>ROUND(IF(OR(ISERROR(FIND(Summary!$P$89,CONCATENATE(C451,D451,E451))),ISERROR(FIND(Summary!$Q$89,A451))),Summary!$R$45,IF(H451&gt;Summary!$V$3,Summary!$R$46,Summary!$R$45))*(B451+30),0)</f>
        <v>124</v>
      </c>
      <c r="H451">
        <f>IF(H450&gt;Summary!$V$4,0,H450+F450)</f>
        <v>165335</v>
      </c>
      <c r="I451" s="26">
        <f>DATE(YEAR(Summary!$V$2),MONTH(Summary!$V$2),DAY(Summary!$V$2)+INT(H451/480))</f>
        <v>43934</v>
      </c>
      <c r="J451" s="27">
        <f t="shared" si="7"/>
        <v>0.4826388888888889</v>
      </c>
    </row>
    <row r="452" spans="1:10">
      <c r="A452" t="str">
        <f>VLOOKUP(Summary!M451,Summary!$P$13:$Q$24,2)</f>
        <v>B1200-fire</v>
      </c>
      <c r="B452">
        <f>ROUND(NORMINV(Summary!M453,VLOOKUP(A452,Summary!$Q$13:$S$24,3,FALSE),VLOOKUP(A452,Summary!$Q$13:$S$24,3,FALSE)/6),-1)</f>
        <v>1550</v>
      </c>
      <c r="C452" t="str">
        <f>IF(AND(H452=0,C451=Summary!$P$2),Summary!$Q$2,IF(AND(H452=0,C451=Summary!$Q$2),Summary!$R$2,C451))</f>
        <v>Neesha</v>
      </c>
      <c r="D452" t="str">
        <f>IF(C452=Summary!$P$26,VLOOKUP(Summary!M459,Summary!$Q$26:$R$27,2),IF('Run Data'!C452=Summary!$P$28,VLOOKUP(Summary!M459,Summary!$Q$28:$R$29,2),VLOOKUP(Summary!M459,Summary!$Q$30:$R$32,2)))</f>
        <v>Sprig 1</v>
      </c>
      <c r="E452" t="str">
        <f>VLOOKUP(Summary!M462,Summary!$P$42:$Q$43,2)</f>
        <v>86</v>
      </c>
      <c r="F452">
        <f>IF(LEFT(A452,3)="B60",20,IF(LEFT(A452,3)="B12",30,25))+B452*0.5+INT(Summary!M465*20)</f>
        <v>823</v>
      </c>
      <c r="G452">
        <f>ROUND(IF(OR(ISERROR(FIND(Summary!$P$89,CONCATENATE(C452,D452,E452))),ISERROR(FIND(Summary!$Q$89,A452))),Summary!$R$45,IF(H452&gt;Summary!$V$3,Summary!$R$46,Summary!$R$45))*(B452+30),0)</f>
        <v>16</v>
      </c>
      <c r="H452">
        <f>IF(H451&gt;Summary!$V$4,0,H451+F451)</f>
        <v>165875</v>
      </c>
      <c r="I452" s="26">
        <f>DATE(YEAR(Summary!$V$2),MONTH(Summary!$V$2),DAY(Summary!$V$2)+INT(H452/480))</f>
        <v>43935</v>
      </c>
      <c r="J452" s="27">
        <f t="shared" si="7"/>
        <v>0.52430555555555558</v>
      </c>
    </row>
    <row r="453" spans="1:10">
      <c r="A453" t="str">
        <f>VLOOKUP(Summary!M452,Summary!$P$13:$Q$24,2)</f>
        <v>B1700-lime</v>
      </c>
      <c r="B453">
        <f>ROUND(NORMINV(Summary!M454,VLOOKUP(A453,Summary!$Q$13:$S$24,3,FALSE),VLOOKUP(A453,Summary!$Q$13:$S$24,3,FALSE)/6),-1)</f>
        <v>360</v>
      </c>
      <c r="C453" t="str">
        <f>IF(AND(H453=0,C452=Summary!$P$2),Summary!$Q$2,IF(AND(H453=0,C452=Summary!$Q$2),Summary!$R$2,C452))</f>
        <v>Neesha</v>
      </c>
      <c r="D453" t="str">
        <f>IF(C453=Summary!$P$26,VLOOKUP(Summary!M460,Summary!$Q$26:$R$27,2),IF('Run Data'!C453=Summary!$P$28,VLOOKUP(Summary!M460,Summary!$Q$28:$R$29,2),VLOOKUP(Summary!M460,Summary!$Q$30:$R$32,2)))</f>
        <v>Sprig 1</v>
      </c>
      <c r="E453" t="str">
        <f>VLOOKUP(Summary!M463,Summary!$P$42:$Q$43,2)</f>
        <v>86</v>
      </c>
      <c r="F453">
        <f>IF(LEFT(A453,3)="B60",20,IF(LEFT(A453,3)="B12",30,25))+B453*0.5+INT(Summary!M466*20)</f>
        <v>223</v>
      </c>
      <c r="G453">
        <f>ROUND(IF(OR(ISERROR(FIND(Summary!$P$89,CONCATENATE(C453,D453,E453))),ISERROR(FIND(Summary!$Q$89,A453))),Summary!$R$45,IF(H453&gt;Summary!$V$3,Summary!$R$46,Summary!$R$45))*(B453+30),0)</f>
        <v>47</v>
      </c>
      <c r="H453">
        <f>IF(H452&gt;Summary!$V$4,0,H452+F452)</f>
        <v>166698</v>
      </c>
      <c r="I453" s="26">
        <f>DATE(YEAR(Summary!$V$2),MONTH(Summary!$V$2),DAY(Summary!$V$2)+INT(H453/480))</f>
        <v>43937</v>
      </c>
      <c r="J453" s="27">
        <f t="shared" si="7"/>
        <v>0.4291666666666667</v>
      </c>
    </row>
    <row r="454" spans="1:10">
      <c r="A454" t="str">
        <f>VLOOKUP(Summary!M453,Summary!$P$13:$Q$24,2)</f>
        <v>B1700-lime</v>
      </c>
      <c r="B454">
        <f>ROUND(NORMINV(Summary!M455,VLOOKUP(A454,Summary!$Q$13:$S$24,3,FALSE),VLOOKUP(A454,Summary!$Q$13:$S$24,3,FALSE)/6),-1)</f>
        <v>450</v>
      </c>
      <c r="C454" t="str">
        <f>IF(AND(H454=0,C453=Summary!$P$2),Summary!$Q$2,IF(AND(H454=0,C453=Summary!$Q$2),Summary!$R$2,C453))</f>
        <v>Neesha</v>
      </c>
      <c r="D454" t="str">
        <f>IF(C454=Summary!$P$26,VLOOKUP(Summary!M461,Summary!$Q$26:$R$27,2),IF('Run Data'!C454=Summary!$P$28,VLOOKUP(Summary!M461,Summary!$Q$28:$R$29,2),VLOOKUP(Summary!M461,Summary!$Q$30:$R$32,2)))</f>
        <v>Sprig 1</v>
      </c>
      <c r="E454" t="str">
        <f>VLOOKUP(Summary!M464,Summary!$P$42:$Q$43,2)</f>
        <v>86</v>
      </c>
      <c r="F454">
        <f>IF(LEFT(A454,3)="B60",20,IF(LEFT(A454,3)="B12",30,25))+B454*0.5+INT(Summary!M467*20)</f>
        <v>268</v>
      </c>
      <c r="G454">
        <f>ROUND(IF(OR(ISERROR(FIND(Summary!$P$89,CONCATENATE(C454,D454,E454))),ISERROR(FIND(Summary!$Q$89,A454))),Summary!$R$45,IF(H454&gt;Summary!$V$3,Summary!$R$46,Summary!$R$45))*(B454+30),0)</f>
        <v>58</v>
      </c>
      <c r="H454">
        <f>IF(H453&gt;Summary!$V$4,0,H453+F453)</f>
        <v>166921</v>
      </c>
      <c r="I454" s="26">
        <f>DATE(YEAR(Summary!$V$2),MONTH(Summary!$V$2),DAY(Summary!$V$2)+INT(H454/480))</f>
        <v>43937</v>
      </c>
      <c r="J454" s="27">
        <f t="shared" si="7"/>
        <v>0.58402777777777781</v>
      </c>
    </row>
    <row r="455" spans="1:10">
      <c r="A455" t="str">
        <f>VLOOKUP(Summary!M454,Summary!$P$13:$Q$24,2)</f>
        <v>B1200-plum</v>
      </c>
      <c r="B455">
        <f>ROUND(NORMINV(Summary!M456,VLOOKUP(A455,Summary!$Q$13:$S$24,3,FALSE),VLOOKUP(A455,Summary!$Q$13:$S$24,3,FALSE)/6),-1)</f>
        <v>550</v>
      </c>
      <c r="C455" t="str">
        <f>IF(AND(H455=0,C454=Summary!$P$2),Summary!$Q$2,IF(AND(H455=0,C454=Summary!$Q$2),Summary!$R$2,C454))</f>
        <v>Neesha</v>
      </c>
      <c r="D455" t="str">
        <f>IF(C455=Summary!$P$26,VLOOKUP(Summary!M462,Summary!$Q$26:$R$27,2),IF('Run Data'!C455=Summary!$P$28,VLOOKUP(Summary!M462,Summary!$Q$28:$R$29,2),VLOOKUP(Summary!M462,Summary!$Q$30:$R$32,2)))</f>
        <v>Sprig 1</v>
      </c>
      <c r="E455" t="str">
        <f>VLOOKUP(Summary!M465,Summary!$P$42:$Q$43,2)</f>
        <v>87b</v>
      </c>
      <c r="F455">
        <f>IF(LEFT(A455,3)="B60",20,IF(LEFT(A455,3)="B12",30,25))+B455*0.5+INT(Summary!M468*20)</f>
        <v>310</v>
      </c>
      <c r="G455">
        <f>ROUND(IF(OR(ISERROR(FIND(Summary!$P$89,CONCATENATE(C455,D455,E455))),ISERROR(FIND(Summary!$Q$89,A455))),Summary!$R$45,IF(H455&gt;Summary!$V$3,Summary!$R$46,Summary!$R$45))*(B455+30),0)</f>
        <v>6</v>
      </c>
      <c r="H455">
        <f>IF(H454&gt;Summary!$V$4,0,H454+F454)</f>
        <v>167189</v>
      </c>
      <c r="I455" s="26">
        <f>DATE(YEAR(Summary!$V$2),MONTH(Summary!$V$2),DAY(Summary!$V$2)+INT(H455/480))</f>
        <v>43938</v>
      </c>
      <c r="J455" s="27">
        <f t="shared" si="7"/>
        <v>0.4368055555555555</v>
      </c>
    </row>
    <row r="456" spans="1:10">
      <c r="A456" t="str">
        <f>VLOOKUP(Summary!M455,Summary!$P$13:$Q$24,2)</f>
        <v>B1700-plum</v>
      </c>
      <c r="B456">
        <f>ROUND(NORMINV(Summary!M457,VLOOKUP(A456,Summary!$Q$13:$S$24,3,FALSE),VLOOKUP(A456,Summary!$Q$13:$S$24,3,FALSE)/6),-1)</f>
        <v>290</v>
      </c>
      <c r="C456" t="str">
        <f>IF(AND(H456=0,C455=Summary!$P$2),Summary!$Q$2,IF(AND(H456=0,C455=Summary!$Q$2),Summary!$R$2,C455))</f>
        <v>Neesha</v>
      </c>
      <c r="D456" t="str">
        <f>IF(C456=Summary!$P$26,VLOOKUP(Summary!M463,Summary!$Q$26:$R$27,2),IF('Run Data'!C456=Summary!$P$28,VLOOKUP(Summary!M463,Summary!$Q$28:$R$29,2),VLOOKUP(Summary!M463,Summary!$Q$30:$R$32,2)))</f>
        <v>Sprig 1</v>
      </c>
      <c r="E456" t="str">
        <f>VLOOKUP(Summary!M466,Summary!$P$42:$Q$43,2)</f>
        <v>87b</v>
      </c>
      <c r="F456">
        <f>IF(LEFT(A456,3)="B60",20,IF(LEFT(A456,3)="B12",30,25))+B456*0.5+INT(Summary!M469*20)</f>
        <v>179</v>
      </c>
      <c r="G456">
        <f>ROUND(IF(OR(ISERROR(FIND(Summary!$P$89,CONCATENATE(C456,D456,E456))),ISERROR(FIND(Summary!$Q$89,A456))),Summary!$R$45,IF(H456&gt;Summary!$V$3,Summary!$R$46,Summary!$R$45))*(B456+30),0)</f>
        <v>3</v>
      </c>
      <c r="H456">
        <f>IF(H455&gt;Summary!$V$4,0,H455+F455)</f>
        <v>167499</v>
      </c>
      <c r="I456" s="26">
        <f>DATE(YEAR(Summary!$V$2),MONTH(Summary!$V$2),DAY(Summary!$V$2)+INT(H456/480))</f>
        <v>43938</v>
      </c>
      <c r="J456" s="27">
        <f t="shared" si="7"/>
        <v>0.65208333333333335</v>
      </c>
    </row>
    <row r="457" spans="1:10">
      <c r="A457" t="str">
        <f>VLOOKUP(Summary!M456,Summary!$P$13:$Q$24,2)</f>
        <v>B1700-lime</v>
      </c>
      <c r="B457">
        <f>ROUND(NORMINV(Summary!M458,VLOOKUP(A457,Summary!$Q$13:$S$24,3,FALSE),VLOOKUP(A457,Summary!$Q$13:$S$24,3,FALSE)/6),-1)</f>
        <v>500</v>
      </c>
      <c r="C457" t="str">
        <f>IF(AND(H457=0,C456=Summary!$P$2),Summary!$Q$2,IF(AND(H457=0,C456=Summary!$Q$2),Summary!$R$2,C456))</f>
        <v>Neesha</v>
      </c>
      <c r="D457" t="str">
        <f>IF(C457=Summary!$P$26,VLOOKUP(Summary!M464,Summary!$Q$26:$R$27,2),IF('Run Data'!C457=Summary!$P$28,VLOOKUP(Summary!M464,Summary!$Q$28:$R$29,2),VLOOKUP(Summary!M464,Summary!$Q$30:$R$32,2)))</f>
        <v>Sprig 4</v>
      </c>
      <c r="E457" t="str">
        <f>VLOOKUP(Summary!M467,Summary!$P$42:$Q$43,2)</f>
        <v>87b</v>
      </c>
      <c r="F457">
        <f>IF(LEFT(A457,3)="B60",20,IF(LEFT(A457,3)="B12",30,25))+B457*0.5+INT(Summary!M470*20)</f>
        <v>287</v>
      </c>
      <c r="G457">
        <f>ROUND(IF(OR(ISERROR(FIND(Summary!$P$89,CONCATENATE(C457,D457,E457))),ISERROR(FIND(Summary!$Q$89,A457))),Summary!$R$45,IF(H457&gt;Summary!$V$3,Summary!$R$46,Summary!$R$45))*(B457+30),0)</f>
        <v>5</v>
      </c>
      <c r="H457">
        <f>IF(H456&gt;Summary!$V$4,0,H456+F456)</f>
        <v>167678</v>
      </c>
      <c r="I457" s="26">
        <f>DATE(YEAR(Summary!$V$2),MONTH(Summary!$V$2),DAY(Summary!$V$2)+INT(H457/480))</f>
        <v>43939</v>
      </c>
      <c r="J457" s="27">
        <f t="shared" si="7"/>
        <v>0.44305555555555554</v>
      </c>
    </row>
    <row r="458" spans="1:10">
      <c r="A458" t="str">
        <f>VLOOKUP(Summary!M457,Summary!$P$13:$Q$24,2)</f>
        <v>B1200-sky</v>
      </c>
      <c r="B458">
        <f>ROUND(NORMINV(Summary!M459,VLOOKUP(A458,Summary!$Q$13:$S$24,3,FALSE),VLOOKUP(A458,Summary!$Q$13:$S$24,3,FALSE)/6),-1)</f>
        <v>1120</v>
      </c>
      <c r="C458" t="str">
        <f>IF(AND(H458=0,C457=Summary!$P$2),Summary!$Q$2,IF(AND(H458=0,C457=Summary!$Q$2),Summary!$R$2,C457))</f>
        <v>Neesha</v>
      </c>
      <c r="D458" t="str">
        <f>IF(C458=Summary!$P$26,VLOOKUP(Summary!M465,Summary!$Q$26:$R$27,2),IF('Run Data'!C458=Summary!$P$28,VLOOKUP(Summary!M465,Summary!$Q$28:$R$29,2),VLOOKUP(Summary!M465,Summary!$Q$30:$R$32,2)))</f>
        <v>Sprig 4</v>
      </c>
      <c r="E458" t="str">
        <f>VLOOKUP(Summary!M468,Summary!$P$42:$Q$43,2)</f>
        <v>86</v>
      </c>
      <c r="F458">
        <f>IF(LEFT(A458,3)="B60",20,IF(LEFT(A458,3)="B12",30,25))+B458*0.5+INT(Summary!M471*20)</f>
        <v>598</v>
      </c>
      <c r="G458">
        <f>ROUND(IF(OR(ISERROR(FIND(Summary!$P$89,CONCATENATE(C458,D458,E458))),ISERROR(FIND(Summary!$Q$89,A458))),Summary!$R$45,IF(H458&gt;Summary!$V$3,Summary!$R$46,Summary!$R$45))*(B458+30),0)</f>
        <v>12</v>
      </c>
      <c r="H458">
        <f>IF(H457&gt;Summary!$V$4,0,H457+F457)</f>
        <v>167965</v>
      </c>
      <c r="I458" s="26">
        <f>DATE(YEAR(Summary!$V$2),MONTH(Summary!$V$2),DAY(Summary!$V$2)+INT(H458/480))</f>
        <v>43939</v>
      </c>
      <c r="J458" s="27">
        <f t="shared" si="7"/>
        <v>0.64236111111111105</v>
      </c>
    </row>
    <row r="459" spans="1:10">
      <c r="A459" t="str">
        <f>VLOOKUP(Summary!M458,Summary!$P$13:$Q$24,2)</f>
        <v>B1700-lime</v>
      </c>
      <c r="B459">
        <f>ROUND(NORMINV(Summary!M460,VLOOKUP(A459,Summary!$Q$13:$S$24,3,FALSE),VLOOKUP(A459,Summary!$Q$13:$S$24,3,FALSE)/6),-1)</f>
        <v>380</v>
      </c>
      <c r="C459" t="str">
        <f>IF(AND(H459=0,C458=Summary!$P$2),Summary!$Q$2,IF(AND(H459=0,C458=Summary!$Q$2),Summary!$R$2,C458))</f>
        <v>Neesha</v>
      </c>
      <c r="D459" t="str">
        <f>IF(C459=Summary!$P$26,VLOOKUP(Summary!M466,Summary!$Q$26:$R$27,2),IF('Run Data'!C459=Summary!$P$28,VLOOKUP(Summary!M466,Summary!$Q$28:$R$29,2),VLOOKUP(Summary!M466,Summary!$Q$30:$R$32,2)))</f>
        <v>Sprig 4</v>
      </c>
      <c r="E459" t="str">
        <f>VLOOKUP(Summary!M469,Summary!$P$42:$Q$43,2)</f>
        <v>86</v>
      </c>
      <c r="F459">
        <f>IF(LEFT(A459,3)="B60",20,IF(LEFT(A459,3)="B12",30,25))+B459*0.5+INT(Summary!M472*20)</f>
        <v>233</v>
      </c>
      <c r="G459">
        <f>ROUND(IF(OR(ISERROR(FIND(Summary!$P$89,CONCATENATE(C459,D459,E459))),ISERROR(FIND(Summary!$Q$89,A459))),Summary!$R$45,IF(H459&gt;Summary!$V$3,Summary!$R$46,Summary!$R$45))*(B459+30),0)</f>
        <v>49</v>
      </c>
      <c r="H459">
        <f>IF(H458&gt;Summary!$V$4,0,H458+F458)</f>
        <v>168563</v>
      </c>
      <c r="I459" s="26">
        <f>DATE(YEAR(Summary!$V$2),MONTH(Summary!$V$2),DAY(Summary!$V$2)+INT(H459/480))</f>
        <v>43941</v>
      </c>
      <c r="J459" s="27">
        <f t="shared" si="7"/>
        <v>0.39097222222222222</v>
      </c>
    </row>
    <row r="460" spans="1:10">
      <c r="A460" t="str">
        <f>VLOOKUP(Summary!M459,Summary!$P$13:$Q$24,2)</f>
        <v>B1200-sky</v>
      </c>
      <c r="B460">
        <f>ROUND(NORMINV(Summary!M461,VLOOKUP(A460,Summary!$Q$13:$S$24,3,FALSE),VLOOKUP(A460,Summary!$Q$13:$S$24,3,FALSE)/6),-1)</f>
        <v>970</v>
      </c>
      <c r="C460" t="str">
        <f>IF(AND(H460=0,C459=Summary!$P$2),Summary!$Q$2,IF(AND(H460=0,C459=Summary!$Q$2),Summary!$R$2,C459))</f>
        <v>Neesha</v>
      </c>
      <c r="D460" t="str">
        <f>IF(C460=Summary!$P$26,VLOOKUP(Summary!M467,Summary!$Q$26:$R$27,2),IF('Run Data'!C460=Summary!$P$28,VLOOKUP(Summary!M467,Summary!$Q$28:$R$29,2),VLOOKUP(Summary!M467,Summary!$Q$30:$R$32,2)))</f>
        <v>Sprig 4</v>
      </c>
      <c r="E460" t="str">
        <f>VLOOKUP(Summary!M470,Summary!$P$42:$Q$43,2)</f>
        <v>86</v>
      </c>
      <c r="F460">
        <f>IF(LEFT(A460,3)="B60",20,IF(LEFT(A460,3)="B12",30,25))+B460*0.5+INT(Summary!M473*20)</f>
        <v>526</v>
      </c>
      <c r="G460">
        <f>ROUND(IF(OR(ISERROR(FIND(Summary!$P$89,CONCATENATE(C460,D460,E460))),ISERROR(FIND(Summary!$Q$89,A460))),Summary!$R$45,IF(H460&gt;Summary!$V$3,Summary!$R$46,Summary!$R$45))*(B460+30),0)</f>
        <v>10</v>
      </c>
      <c r="H460">
        <f>IF(H459&gt;Summary!$V$4,0,H459+F459)</f>
        <v>168796</v>
      </c>
      <c r="I460" s="26">
        <f>DATE(YEAR(Summary!$V$2),MONTH(Summary!$V$2),DAY(Summary!$V$2)+INT(H460/480))</f>
        <v>43941</v>
      </c>
      <c r="J460" s="27">
        <f t="shared" si="7"/>
        <v>0.55277777777777781</v>
      </c>
    </row>
    <row r="461" spans="1:10">
      <c r="A461" t="str">
        <f>VLOOKUP(Summary!M460,Summary!$P$13:$Q$24,2)</f>
        <v>B1200-sky</v>
      </c>
      <c r="B461">
        <f>ROUND(NORMINV(Summary!M462,VLOOKUP(A461,Summary!$Q$13:$S$24,3,FALSE),VLOOKUP(A461,Summary!$Q$13:$S$24,3,FALSE)/6),-1)</f>
        <v>1140</v>
      </c>
      <c r="C461" t="str">
        <f>IF(AND(H461=0,C460=Summary!$P$2),Summary!$Q$2,IF(AND(H461=0,C460=Summary!$Q$2),Summary!$R$2,C460))</f>
        <v>Neesha</v>
      </c>
      <c r="D461" t="str">
        <f>IF(C461=Summary!$P$26,VLOOKUP(Summary!M468,Summary!$Q$26:$R$27,2),IF('Run Data'!C461=Summary!$P$28,VLOOKUP(Summary!M468,Summary!$Q$28:$R$29,2),VLOOKUP(Summary!M468,Summary!$Q$30:$R$32,2)))</f>
        <v>Sprig 1</v>
      </c>
      <c r="E461" t="str">
        <f>VLOOKUP(Summary!M471,Summary!$P$42:$Q$43,2)</f>
        <v>86</v>
      </c>
      <c r="F461">
        <f>IF(LEFT(A461,3)="B60",20,IF(LEFT(A461,3)="B12",30,25))+B461*0.5+INT(Summary!M474*20)</f>
        <v>606</v>
      </c>
      <c r="G461">
        <f>ROUND(IF(OR(ISERROR(FIND(Summary!$P$89,CONCATENATE(C461,D461,E461))),ISERROR(FIND(Summary!$Q$89,A461))),Summary!$R$45,IF(H461&gt;Summary!$V$3,Summary!$R$46,Summary!$R$45))*(B461+30),0)</f>
        <v>12</v>
      </c>
      <c r="H461">
        <f>IF(H460&gt;Summary!$V$4,0,H460+F460)</f>
        <v>169322</v>
      </c>
      <c r="I461" s="26">
        <f>DATE(YEAR(Summary!$V$2),MONTH(Summary!$V$2),DAY(Summary!$V$2)+INT(H461/480))</f>
        <v>43942</v>
      </c>
      <c r="J461" s="27">
        <f t="shared" si="7"/>
        <v>0.58472222222222225</v>
      </c>
    </row>
    <row r="462" spans="1:10">
      <c r="A462" t="str">
        <f>VLOOKUP(Summary!M461,Summary!$P$13:$Q$24,2)</f>
        <v>B600-fire</v>
      </c>
      <c r="B462">
        <f>ROUND(NORMINV(Summary!M463,VLOOKUP(A462,Summary!$Q$13:$S$24,3,FALSE),VLOOKUP(A462,Summary!$Q$13:$S$24,3,FALSE)/6),-1)</f>
        <v>440</v>
      </c>
      <c r="C462" t="str">
        <f>IF(AND(H462=0,C461=Summary!$P$2),Summary!$Q$2,IF(AND(H462=0,C461=Summary!$Q$2),Summary!$R$2,C461))</f>
        <v>Neesha</v>
      </c>
      <c r="D462" t="str">
        <f>IF(C462=Summary!$P$26,VLOOKUP(Summary!M469,Summary!$Q$26:$R$27,2),IF('Run Data'!C462=Summary!$P$28,VLOOKUP(Summary!M469,Summary!$Q$28:$R$29,2),VLOOKUP(Summary!M469,Summary!$Q$30:$R$32,2)))</f>
        <v>Sprig 1</v>
      </c>
      <c r="E462" t="str">
        <f>VLOOKUP(Summary!M472,Summary!$P$42:$Q$43,2)</f>
        <v>87b</v>
      </c>
      <c r="F462">
        <f>IF(LEFT(A462,3)="B60",20,IF(LEFT(A462,3)="B12",30,25))+B462*0.5+INT(Summary!M475*20)</f>
        <v>254</v>
      </c>
      <c r="G462">
        <f>ROUND(IF(OR(ISERROR(FIND(Summary!$P$89,CONCATENATE(C462,D462,E462))),ISERROR(FIND(Summary!$Q$89,A462))),Summary!$R$45,IF(H462&gt;Summary!$V$3,Summary!$R$46,Summary!$R$45))*(B462+30),0)</f>
        <v>5</v>
      </c>
      <c r="H462">
        <f>IF(H461&gt;Summary!$V$4,0,H461+F461)</f>
        <v>169928</v>
      </c>
      <c r="I462" s="26">
        <f>DATE(YEAR(Summary!$V$2),MONTH(Summary!$V$2),DAY(Summary!$V$2)+INT(H462/480))</f>
        <v>43944</v>
      </c>
      <c r="J462" s="27">
        <f t="shared" si="7"/>
        <v>0.33888888888888885</v>
      </c>
    </row>
    <row r="463" spans="1:10">
      <c r="A463" t="str">
        <f>VLOOKUP(Summary!M462,Summary!$P$13:$Q$24,2)</f>
        <v>B1200-sky</v>
      </c>
      <c r="B463">
        <f>ROUND(NORMINV(Summary!M464,VLOOKUP(A463,Summary!$Q$13:$S$24,3,FALSE),VLOOKUP(A463,Summary!$Q$13:$S$24,3,FALSE)/6),-1)</f>
        <v>1360</v>
      </c>
      <c r="C463" t="str">
        <f>IF(AND(H463=0,C462=Summary!$P$2),Summary!$Q$2,IF(AND(H463=0,C462=Summary!$Q$2),Summary!$R$2,C462))</f>
        <v>Neesha</v>
      </c>
      <c r="D463" t="str">
        <f>IF(C463=Summary!$P$26,VLOOKUP(Summary!M470,Summary!$Q$26:$R$27,2),IF('Run Data'!C463=Summary!$P$28,VLOOKUP(Summary!M470,Summary!$Q$28:$R$29,2),VLOOKUP(Summary!M470,Summary!$Q$30:$R$32,2)))</f>
        <v>Sprig 1</v>
      </c>
      <c r="E463" t="str">
        <f>VLOOKUP(Summary!M473,Summary!$P$42:$Q$43,2)</f>
        <v>86</v>
      </c>
      <c r="F463">
        <f>IF(LEFT(A463,3)="B60",20,IF(LEFT(A463,3)="B12",30,25))+B463*0.5+INT(Summary!M476*20)</f>
        <v>726</v>
      </c>
      <c r="G463">
        <f>ROUND(IF(OR(ISERROR(FIND(Summary!$P$89,CONCATENATE(C463,D463,E463))),ISERROR(FIND(Summary!$Q$89,A463))),Summary!$R$45,IF(H463&gt;Summary!$V$3,Summary!$R$46,Summary!$R$45))*(B463+30),0)</f>
        <v>14</v>
      </c>
      <c r="H463">
        <f>IF(H462&gt;Summary!$V$4,0,H462+F462)</f>
        <v>170182</v>
      </c>
      <c r="I463" s="26">
        <f>DATE(YEAR(Summary!$V$2),MONTH(Summary!$V$2),DAY(Summary!$V$2)+INT(H463/480))</f>
        <v>43944</v>
      </c>
      <c r="J463" s="27">
        <f t="shared" si="7"/>
        <v>0.51527777777777783</v>
      </c>
    </row>
    <row r="464" spans="1:10">
      <c r="A464" t="str">
        <f>VLOOKUP(Summary!M463,Summary!$P$13:$Q$24,2)</f>
        <v>B1700-plum</v>
      </c>
      <c r="B464">
        <f>ROUND(NORMINV(Summary!M465,VLOOKUP(A464,Summary!$Q$13:$S$24,3,FALSE),VLOOKUP(A464,Summary!$Q$13:$S$24,3,FALSE)/6),-1)</f>
        <v>380</v>
      </c>
      <c r="C464" t="str">
        <f>IF(AND(H464=0,C463=Summary!$P$2),Summary!$Q$2,IF(AND(H464=0,C463=Summary!$Q$2),Summary!$R$2,C463))</f>
        <v>Neesha</v>
      </c>
      <c r="D464" t="str">
        <f>IF(C464=Summary!$P$26,VLOOKUP(Summary!M471,Summary!$Q$26:$R$27,2),IF('Run Data'!C464=Summary!$P$28,VLOOKUP(Summary!M471,Summary!$Q$28:$R$29,2),VLOOKUP(Summary!M471,Summary!$Q$30:$R$32,2)))</f>
        <v>Sprig 1</v>
      </c>
      <c r="E464" t="str">
        <f>VLOOKUP(Summary!M474,Summary!$P$42:$Q$43,2)</f>
        <v>86</v>
      </c>
      <c r="F464">
        <f>IF(LEFT(A464,3)="B60",20,IF(LEFT(A464,3)="B12",30,25))+B464*0.5+INT(Summary!M477*20)</f>
        <v>218</v>
      </c>
      <c r="G464">
        <f>ROUND(IF(OR(ISERROR(FIND(Summary!$P$89,CONCATENATE(C464,D464,E464))),ISERROR(FIND(Summary!$Q$89,A464))),Summary!$R$45,IF(H464&gt;Summary!$V$3,Summary!$R$46,Summary!$R$45))*(B464+30),0)</f>
        <v>49</v>
      </c>
      <c r="H464">
        <f>IF(H463&gt;Summary!$V$4,0,H463+F463)</f>
        <v>170908</v>
      </c>
      <c r="I464" s="26">
        <f>DATE(YEAR(Summary!$V$2),MONTH(Summary!$V$2),DAY(Summary!$V$2)+INT(H464/480))</f>
        <v>43946</v>
      </c>
      <c r="J464" s="27">
        <f t="shared" si="7"/>
        <v>0.3527777777777778</v>
      </c>
    </row>
    <row r="465" spans="1:10">
      <c r="A465" t="str">
        <f>VLOOKUP(Summary!M464,Summary!$P$13:$Q$24,2)</f>
        <v>B1700-sky</v>
      </c>
      <c r="B465">
        <f>ROUND(NORMINV(Summary!M466,VLOOKUP(A465,Summary!$Q$13:$S$24,3,FALSE),VLOOKUP(A465,Summary!$Q$13:$S$24,3,FALSE)/6),-1)</f>
        <v>680</v>
      </c>
      <c r="C465" t="str">
        <f>IF(AND(H465=0,C464=Summary!$P$2),Summary!$Q$2,IF(AND(H465=0,C464=Summary!$Q$2),Summary!$R$2,C464))</f>
        <v>Neesha</v>
      </c>
      <c r="D465" t="str">
        <f>IF(C465=Summary!$P$26,VLOOKUP(Summary!M472,Summary!$Q$26:$R$27,2),IF('Run Data'!C465=Summary!$P$28,VLOOKUP(Summary!M472,Summary!$Q$28:$R$29,2),VLOOKUP(Summary!M472,Summary!$Q$30:$R$32,2)))</f>
        <v>Sprig 4</v>
      </c>
      <c r="E465" t="str">
        <f>VLOOKUP(Summary!M475,Summary!$P$42:$Q$43,2)</f>
        <v>86</v>
      </c>
      <c r="F465">
        <f>IF(LEFT(A465,3)="B60",20,IF(LEFT(A465,3)="B12",30,25))+B465*0.5+INT(Summary!M478*20)</f>
        <v>373</v>
      </c>
      <c r="G465">
        <f>ROUND(IF(OR(ISERROR(FIND(Summary!$P$89,CONCATENATE(C465,D465,E465))),ISERROR(FIND(Summary!$Q$89,A465))),Summary!$R$45,IF(H465&gt;Summary!$V$3,Summary!$R$46,Summary!$R$45))*(B465+30),0)</f>
        <v>85</v>
      </c>
      <c r="H465">
        <f>IF(H464&gt;Summary!$V$4,0,H464+F464)</f>
        <v>171126</v>
      </c>
      <c r="I465" s="26">
        <f>DATE(YEAR(Summary!$V$2),MONTH(Summary!$V$2),DAY(Summary!$V$2)+INT(H465/480))</f>
        <v>43946</v>
      </c>
      <c r="J465" s="27">
        <f t="shared" ref="J465:J528" si="8">TIME(INT(MOD(H465,480)/60)+8,MOD(MOD(H465,480),60),0)</f>
        <v>0.50416666666666665</v>
      </c>
    </row>
    <row r="466" spans="1:10">
      <c r="A466" t="str">
        <f>VLOOKUP(Summary!M465,Summary!$P$13:$Q$24,2)</f>
        <v>B1700-lime</v>
      </c>
      <c r="B466">
        <f>ROUND(NORMINV(Summary!M467,VLOOKUP(A466,Summary!$Q$13:$S$24,3,FALSE),VLOOKUP(A466,Summary!$Q$13:$S$24,3,FALSE)/6),-1)</f>
        <v>490</v>
      </c>
      <c r="C466" t="str">
        <f>IF(AND(H466=0,C465=Summary!$P$2),Summary!$Q$2,IF(AND(H466=0,C465=Summary!$Q$2),Summary!$R$2,C465))</f>
        <v>Neesha</v>
      </c>
      <c r="D466" t="str">
        <f>IF(C466=Summary!$P$26,VLOOKUP(Summary!M473,Summary!$Q$26:$R$27,2),IF('Run Data'!C466=Summary!$P$28,VLOOKUP(Summary!M473,Summary!$Q$28:$R$29,2),VLOOKUP(Summary!M473,Summary!$Q$30:$R$32,2)))</f>
        <v>Sprig 1</v>
      </c>
      <c r="E466" t="str">
        <f>VLOOKUP(Summary!M476,Summary!$P$42:$Q$43,2)</f>
        <v>86</v>
      </c>
      <c r="F466">
        <f>IF(LEFT(A466,3)="B60",20,IF(LEFT(A466,3)="B12",30,25))+B466*0.5+INT(Summary!M479*20)</f>
        <v>277</v>
      </c>
      <c r="G466">
        <f>ROUND(IF(OR(ISERROR(FIND(Summary!$P$89,CONCATENATE(C466,D466,E466))),ISERROR(FIND(Summary!$Q$89,A466))),Summary!$R$45,IF(H466&gt;Summary!$V$3,Summary!$R$46,Summary!$R$45))*(B466+30),0)</f>
        <v>62</v>
      </c>
      <c r="H466">
        <f>IF(H465&gt;Summary!$V$4,0,H465+F465)</f>
        <v>171499</v>
      </c>
      <c r="I466" s="26">
        <f>DATE(YEAR(Summary!$V$2),MONTH(Summary!$V$2),DAY(Summary!$V$2)+INT(H466/480))</f>
        <v>43947</v>
      </c>
      <c r="J466" s="27">
        <f t="shared" si="8"/>
        <v>0.42986111111111108</v>
      </c>
    </row>
    <row r="467" spans="1:10">
      <c r="A467" t="str">
        <f>VLOOKUP(Summary!M466,Summary!$P$13:$Q$24,2)</f>
        <v>B1700-lime</v>
      </c>
      <c r="B467">
        <f>ROUND(NORMINV(Summary!M468,VLOOKUP(A467,Summary!$Q$13:$S$24,3,FALSE),VLOOKUP(A467,Summary!$Q$13:$S$24,3,FALSE)/6),-1)</f>
        <v>360</v>
      </c>
      <c r="C467" t="str">
        <f>IF(AND(H467=0,C466=Summary!$P$2),Summary!$Q$2,IF(AND(H467=0,C466=Summary!$Q$2),Summary!$R$2,C466))</f>
        <v>Neesha</v>
      </c>
      <c r="D467" t="str">
        <f>IF(C467=Summary!$P$26,VLOOKUP(Summary!M474,Summary!$Q$26:$R$27,2),IF('Run Data'!C467=Summary!$P$28,VLOOKUP(Summary!M474,Summary!$Q$28:$R$29,2),VLOOKUP(Summary!M474,Summary!$Q$30:$R$32,2)))</f>
        <v>Sprig 1</v>
      </c>
      <c r="E467" t="str">
        <f>VLOOKUP(Summary!M477,Summary!$P$42:$Q$43,2)</f>
        <v>86</v>
      </c>
      <c r="F467">
        <f>IF(LEFT(A467,3)="B60",20,IF(LEFT(A467,3)="B12",30,25))+B467*0.5+INT(Summary!M480*20)</f>
        <v>221</v>
      </c>
      <c r="G467">
        <f>ROUND(IF(OR(ISERROR(FIND(Summary!$P$89,CONCATENATE(C467,D467,E467))),ISERROR(FIND(Summary!$Q$89,A467))),Summary!$R$45,IF(H467&gt;Summary!$V$3,Summary!$R$46,Summary!$R$45))*(B467+30),0)</f>
        <v>47</v>
      </c>
      <c r="H467">
        <f>IF(H466&gt;Summary!$V$4,0,H466+F466)</f>
        <v>171776</v>
      </c>
      <c r="I467" s="26">
        <f>DATE(YEAR(Summary!$V$2),MONTH(Summary!$V$2),DAY(Summary!$V$2)+INT(H467/480))</f>
        <v>43947</v>
      </c>
      <c r="J467" s="27">
        <f t="shared" si="8"/>
        <v>0.62222222222222223</v>
      </c>
    </row>
    <row r="468" spans="1:10">
      <c r="A468" t="str">
        <f>VLOOKUP(Summary!M467,Summary!$P$13:$Q$24,2)</f>
        <v>B1700-lime</v>
      </c>
      <c r="B468">
        <f>ROUND(NORMINV(Summary!M469,VLOOKUP(A468,Summary!$Q$13:$S$24,3,FALSE),VLOOKUP(A468,Summary!$Q$13:$S$24,3,FALSE)/6),-1)</f>
        <v>390</v>
      </c>
      <c r="C468" t="str">
        <f>IF(AND(H468=0,C467=Summary!$P$2),Summary!$Q$2,IF(AND(H468=0,C467=Summary!$Q$2),Summary!$R$2,C467))</f>
        <v>Neesha</v>
      </c>
      <c r="D468" t="str">
        <f>IF(C468=Summary!$P$26,VLOOKUP(Summary!M475,Summary!$Q$26:$R$27,2),IF('Run Data'!C468=Summary!$P$28,VLOOKUP(Summary!M475,Summary!$Q$28:$R$29,2),VLOOKUP(Summary!M475,Summary!$Q$30:$R$32,2)))</f>
        <v>Sprig 1</v>
      </c>
      <c r="E468" t="str">
        <f>VLOOKUP(Summary!M478,Summary!$P$42:$Q$43,2)</f>
        <v>86</v>
      </c>
      <c r="F468">
        <f>IF(LEFT(A468,3)="B60",20,IF(LEFT(A468,3)="B12",30,25))+B468*0.5+INT(Summary!M481*20)</f>
        <v>234</v>
      </c>
      <c r="G468">
        <f>ROUND(IF(OR(ISERROR(FIND(Summary!$P$89,CONCATENATE(C468,D468,E468))),ISERROR(FIND(Summary!$Q$89,A468))),Summary!$R$45,IF(H468&gt;Summary!$V$3,Summary!$R$46,Summary!$R$45))*(B468+30),0)</f>
        <v>50</v>
      </c>
      <c r="H468">
        <f>IF(H467&gt;Summary!$V$4,0,H467+F467)</f>
        <v>171997</v>
      </c>
      <c r="I468" s="26">
        <f>DATE(YEAR(Summary!$V$2),MONTH(Summary!$V$2),DAY(Summary!$V$2)+INT(H468/480))</f>
        <v>43948</v>
      </c>
      <c r="J468" s="27">
        <f t="shared" si="8"/>
        <v>0.44236111111111115</v>
      </c>
    </row>
    <row r="469" spans="1:10">
      <c r="A469" t="str">
        <f>VLOOKUP(Summary!M468,Summary!$P$13:$Q$24,2)</f>
        <v>B1200-plum</v>
      </c>
      <c r="B469">
        <f>ROUND(NORMINV(Summary!M470,VLOOKUP(A469,Summary!$Q$13:$S$24,3,FALSE),VLOOKUP(A469,Summary!$Q$13:$S$24,3,FALSE)/6),-1)</f>
        <v>470</v>
      </c>
      <c r="C469" t="str">
        <f>IF(AND(H469=0,C468=Summary!$P$2),Summary!$Q$2,IF(AND(H469=0,C468=Summary!$Q$2),Summary!$R$2,C468))</f>
        <v>Neesha</v>
      </c>
      <c r="D469" t="str">
        <f>IF(C469=Summary!$P$26,VLOOKUP(Summary!M476,Summary!$Q$26:$R$27,2),IF('Run Data'!C469=Summary!$P$28,VLOOKUP(Summary!M476,Summary!$Q$28:$R$29,2),VLOOKUP(Summary!M476,Summary!$Q$30:$R$32,2)))</f>
        <v>Sprig 4</v>
      </c>
      <c r="E469" t="str">
        <f>VLOOKUP(Summary!M479,Summary!$P$42:$Q$43,2)</f>
        <v>86</v>
      </c>
      <c r="F469">
        <f>IF(LEFT(A469,3)="B60",20,IF(LEFT(A469,3)="B12",30,25))+B469*0.5+INT(Summary!M482*20)</f>
        <v>278</v>
      </c>
      <c r="G469">
        <f>ROUND(IF(OR(ISERROR(FIND(Summary!$P$89,CONCATENATE(C469,D469,E469))),ISERROR(FIND(Summary!$Q$89,A469))),Summary!$R$45,IF(H469&gt;Summary!$V$3,Summary!$R$46,Summary!$R$45))*(B469+30),0)</f>
        <v>5</v>
      </c>
      <c r="H469">
        <f>IF(H468&gt;Summary!$V$4,0,H468+F468)</f>
        <v>172231</v>
      </c>
      <c r="I469" s="26">
        <f>DATE(YEAR(Summary!$V$2),MONTH(Summary!$V$2),DAY(Summary!$V$2)+INT(H469/480))</f>
        <v>43948</v>
      </c>
      <c r="J469" s="27">
        <f t="shared" si="8"/>
        <v>0.60486111111111118</v>
      </c>
    </row>
    <row r="470" spans="1:10">
      <c r="A470" t="str">
        <f>VLOOKUP(Summary!M469,Summary!$P$13:$Q$24,2)</f>
        <v>B1200-fire</v>
      </c>
      <c r="B470">
        <f>ROUND(NORMINV(Summary!M471,VLOOKUP(A470,Summary!$Q$13:$S$24,3,FALSE),VLOOKUP(A470,Summary!$Q$13:$S$24,3,FALSE)/6),-1)</f>
        <v>1160</v>
      </c>
      <c r="C470" t="str">
        <f>IF(AND(H470=0,C469=Summary!$P$2),Summary!$Q$2,IF(AND(H470=0,C469=Summary!$Q$2),Summary!$R$2,C469))</f>
        <v>Neesha</v>
      </c>
      <c r="D470" t="str">
        <f>IF(C470=Summary!$P$26,VLOOKUP(Summary!M477,Summary!$Q$26:$R$27,2),IF('Run Data'!C470=Summary!$P$28,VLOOKUP(Summary!M477,Summary!$Q$28:$R$29,2),VLOOKUP(Summary!M477,Summary!$Q$30:$R$32,2)))</f>
        <v>Sprig 1</v>
      </c>
      <c r="E470" t="str">
        <f>VLOOKUP(Summary!M480,Summary!$P$42:$Q$43,2)</f>
        <v>86</v>
      </c>
      <c r="F470">
        <f>IF(LEFT(A470,3)="B60",20,IF(LEFT(A470,3)="B12",30,25))+B470*0.5+INT(Summary!M483*20)</f>
        <v>629</v>
      </c>
      <c r="G470">
        <f>ROUND(IF(OR(ISERROR(FIND(Summary!$P$89,CONCATENATE(C470,D470,E470))),ISERROR(FIND(Summary!$Q$89,A470))),Summary!$R$45,IF(H470&gt;Summary!$V$3,Summary!$R$46,Summary!$R$45))*(B470+30),0)</f>
        <v>12</v>
      </c>
      <c r="H470">
        <f>IF(H469&gt;Summary!$V$4,0,H469+F469)</f>
        <v>172509</v>
      </c>
      <c r="I470" s="26">
        <f>DATE(YEAR(Summary!$V$2),MONTH(Summary!$V$2),DAY(Summary!$V$2)+INT(H470/480))</f>
        <v>43949</v>
      </c>
      <c r="J470" s="27">
        <f t="shared" si="8"/>
        <v>0.46458333333333335</v>
      </c>
    </row>
    <row r="471" spans="1:10">
      <c r="A471" t="str">
        <f>VLOOKUP(Summary!M470,Summary!$P$13:$Q$24,2)</f>
        <v>B1200-lime</v>
      </c>
      <c r="B471">
        <f>ROUND(NORMINV(Summary!M472,VLOOKUP(A471,Summary!$Q$13:$S$24,3,FALSE),VLOOKUP(A471,Summary!$Q$13:$S$24,3,FALSE)/6),-1)</f>
        <v>970</v>
      </c>
      <c r="C471" t="str">
        <f>IF(AND(H471=0,C470=Summary!$P$2),Summary!$Q$2,IF(AND(H471=0,C470=Summary!$Q$2),Summary!$R$2,C470))</f>
        <v>Neesha</v>
      </c>
      <c r="D471" t="str">
        <f>IF(C471=Summary!$P$26,VLOOKUP(Summary!M478,Summary!$Q$26:$R$27,2),IF('Run Data'!C471=Summary!$P$28,VLOOKUP(Summary!M478,Summary!$Q$28:$R$29,2),VLOOKUP(Summary!M478,Summary!$Q$30:$R$32,2)))</f>
        <v>Sprig 1</v>
      </c>
      <c r="E471" t="str">
        <f>VLOOKUP(Summary!M481,Summary!$P$42:$Q$43,2)</f>
        <v>86</v>
      </c>
      <c r="F471">
        <f>IF(LEFT(A471,3)="B60",20,IF(LEFT(A471,3)="B12",30,25))+B471*0.5+INT(Summary!M484*20)</f>
        <v>515</v>
      </c>
      <c r="G471">
        <f>ROUND(IF(OR(ISERROR(FIND(Summary!$P$89,CONCATENATE(C471,D471,E471))),ISERROR(FIND(Summary!$Q$89,A471))),Summary!$R$45,IF(H471&gt;Summary!$V$3,Summary!$R$46,Summary!$R$45))*(B471+30),0)</f>
        <v>10</v>
      </c>
      <c r="H471">
        <f>IF(H470&gt;Summary!$V$4,0,H470+F470)</f>
        <v>173138</v>
      </c>
      <c r="I471" s="26">
        <f>DATE(YEAR(Summary!$V$2),MONTH(Summary!$V$2),DAY(Summary!$V$2)+INT(H471/480))</f>
        <v>43950</v>
      </c>
      <c r="J471" s="27">
        <f t="shared" si="8"/>
        <v>0.56805555555555554</v>
      </c>
    </row>
    <row r="472" spans="1:10">
      <c r="A472" t="str">
        <f>VLOOKUP(Summary!M471,Summary!$P$13:$Q$24,2)</f>
        <v>B1200-sky</v>
      </c>
      <c r="B472">
        <f>ROUND(NORMINV(Summary!M473,VLOOKUP(A472,Summary!$Q$13:$S$24,3,FALSE),VLOOKUP(A472,Summary!$Q$13:$S$24,3,FALSE)/6),-1)</f>
        <v>1230</v>
      </c>
      <c r="C472" t="str">
        <f>IF(AND(H472=0,C471=Summary!$P$2),Summary!$Q$2,IF(AND(H472=0,C471=Summary!$Q$2),Summary!$R$2,C471))</f>
        <v>Neesha</v>
      </c>
      <c r="D472" t="str">
        <f>IF(C472=Summary!$P$26,VLOOKUP(Summary!M479,Summary!$Q$26:$R$27,2),IF('Run Data'!C472=Summary!$P$28,VLOOKUP(Summary!M479,Summary!$Q$28:$R$29,2),VLOOKUP(Summary!M479,Summary!$Q$30:$R$32,2)))</f>
        <v>Sprig 1</v>
      </c>
      <c r="E472" t="str">
        <f>VLOOKUP(Summary!M482,Summary!$P$42:$Q$43,2)</f>
        <v>86</v>
      </c>
      <c r="F472">
        <f>IF(LEFT(A472,3)="B60",20,IF(LEFT(A472,3)="B12",30,25))+B472*0.5+INT(Summary!M485*20)</f>
        <v>650</v>
      </c>
      <c r="G472">
        <f>ROUND(IF(OR(ISERROR(FIND(Summary!$P$89,CONCATENATE(C472,D472,E472))),ISERROR(FIND(Summary!$Q$89,A472))),Summary!$R$45,IF(H472&gt;Summary!$V$3,Summary!$R$46,Summary!$R$45))*(B472+30),0)</f>
        <v>13</v>
      </c>
      <c r="H472">
        <f>IF(H471&gt;Summary!$V$4,0,H471+F471)</f>
        <v>173653</v>
      </c>
      <c r="I472" s="26">
        <f>DATE(YEAR(Summary!$V$2),MONTH(Summary!$V$2),DAY(Summary!$V$2)+INT(H472/480))</f>
        <v>43951</v>
      </c>
      <c r="J472" s="27">
        <f t="shared" si="8"/>
        <v>0.59236111111111112</v>
      </c>
    </row>
    <row r="473" spans="1:10">
      <c r="A473" t="str">
        <f>VLOOKUP(Summary!M472,Summary!$P$13:$Q$24,2)</f>
        <v>B1700-fire</v>
      </c>
      <c r="B473">
        <f>ROUND(NORMINV(Summary!M474,VLOOKUP(A473,Summary!$Q$13:$S$24,3,FALSE),VLOOKUP(A473,Summary!$Q$13:$S$24,3,FALSE)/6),-1)</f>
        <v>690</v>
      </c>
      <c r="C473" t="str">
        <f>IF(AND(H473=0,C472=Summary!$P$2),Summary!$Q$2,IF(AND(H473=0,C472=Summary!$Q$2),Summary!$R$2,C472))</f>
        <v>Neesha</v>
      </c>
      <c r="D473" t="str">
        <f>IF(C473=Summary!$P$26,VLOOKUP(Summary!M480,Summary!$Q$26:$R$27,2),IF('Run Data'!C473=Summary!$P$28,VLOOKUP(Summary!M480,Summary!$Q$28:$R$29,2),VLOOKUP(Summary!M480,Summary!$Q$30:$R$32,2)))</f>
        <v>Sprig 4</v>
      </c>
      <c r="E473" t="str">
        <f>VLOOKUP(Summary!M483,Summary!$P$42:$Q$43,2)</f>
        <v>87b</v>
      </c>
      <c r="F473">
        <f>IF(LEFT(A473,3)="B60",20,IF(LEFT(A473,3)="B12",30,25))+B473*0.5+INT(Summary!M486*20)</f>
        <v>382</v>
      </c>
      <c r="G473">
        <f>ROUND(IF(OR(ISERROR(FIND(Summary!$P$89,CONCATENATE(C473,D473,E473))),ISERROR(FIND(Summary!$Q$89,A473))),Summary!$R$45,IF(H473&gt;Summary!$V$3,Summary!$R$46,Summary!$R$45))*(B473+30),0)</f>
        <v>7</v>
      </c>
      <c r="H473">
        <f>IF(H472&gt;Summary!$V$4,0,H472+F472)</f>
        <v>174303</v>
      </c>
      <c r="I473" s="26">
        <f>DATE(YEAR(Summary!$V$2),MONTH(Summary!$V$2),DAY(Summary!$V$2)+INT(H473/480))</f>
        <v>43953</v>
      </c>
      <c r="J473" s="27">
        <f t="shared" si="8"/>
        <v>0.37708333333333338</v>
      </c>
    </row>
    <row r="474" spans="1:10">
      <c r="A474" t="str">
        <f>VLOOKUP(Summary!M473,Summary!$P$13:$Q$24,2)</f>
        <v>B1200-lime</v>
      </c>
      <c r="B474">
        <f>ROUND(NORMINV(Summary!M475,VLOOKUP(A474,Summary!$Q$13:$S$24,3,FALSE),VLOOKUP(A474,Summary!$Q$13:$S$24,3,FALSE)/6),-1)</f>
        <v>880</v>
      </c>
      <c r="C474" t="str">
        <f>IF(AND(H474=0,C473=Summary!$P$2),Summary!$Q$2,IF(AND(H474=0,C473=Summary!$Q$2),Summary!$R$2,C473))</f>
        <v>Neesha</v>
      </c>
      <c r="D474" t="str">
        <f>IF(C474=Summary!$P$26,VLOOKUP(Summary!M481,Summary!$Q$26:$R$27,2),IF('Run Data'!C474=Summary!$P$28,VLOOKUP(Summary!M481,Summary!$Q$28:$R$29,2),VLOOKUP(Summary!M481,Summary!$Q$30:$R$32,2)))</f>
        <v>Sprig 1</v>
      </c>
      <c r="E474" t="str">
        <f>VLOOKUP(Summary!M484,Summary!$P$42:$Q$43,2)</f>
        <v>86</v>
      </c>
      <c r="F474">
        <f>IF(LEFT(A474,3)="B60",20,IF(LEFT(A474,3)="B12",30,25))+B474*0.5+INT(Summary!M487*20)</f>
        <v>487</v>
      </c>
      <c r="G474">
        <f>ROUND(IF(OR(ISERROR(FIND(Summary!$P$89,CONCATENATE(C474,D474,E474))),ISERROR(FIND(Summary!$Q$89,A474))),Summary!$R$45,IF(H474&gt;Summary!$V$3,Summary!$R$46,Summary!$R$45))*(B474+30),0)</f>
        <v>9</v>
      </c>
      <c r="H474">
        <f>IF(H473&gt;Summary!$V$4,0,H473+F473)</f>
        <v>174685</v>
      </c>
      <c r="I474" s="26">
        <f>DATE(YEAR(Summary!$V$2),MONTH(Summary!$V$2),DAY(Summary!$V$2)+INT(H474/480))</f>
        <v>43953</v>
      </c>
      <c r="J474" s="27">
        <f t="shared" si="8"/>
        <v>0.64236111111111105</v>
      </c>
    </row>
    <row r="475" spans="1:10">
      <c r="A475" t="str">
        <f>VLOOKUP(Summary!M474,Summary!$P$13:$Q$24,2)</f>
        <v>B1200-plum</v>
      </c>
      <c r="B475">
        <f>ROUND(NORMINV(Summary!M476,VLOOKUP(A475,Summary!$Q$13:$S$24,3,FALSE),VLOOKUP(A475,Summary!$Q$13:$S$24,3,FALSE)/6),-1)</f>
        <v>530</v>
      </c>
      <c r="C475" t="str">
        <f>IF(AND(H475=0,C474=Summary!$P$2),Summary!$Q$2,IF(AND(H475=0,C474=Summary!$Q$2),Summary!$R$2,C474))</f>
        <v>Neesha</v>
      </c>
      <c r="D475" t="str">
        <f>IF(C475=Summary!$P$26,VLOOKUP(Summary!M482,Summary!$Q$26:$R$27,2),IF('Run Data'!C475=Summary!$P$28,VLOOKUP(Summary!M482,Summary!$Q$28:$R$29,2),VLOOKUP(Summary!M482,Summary!$Q$30:$R$32,2)))</f>
        <v>Sprig 1</v>
      </c>
      <c r="E475" t="str">
        <f>VLOOKUP(Summary!M485,Summary!$P$42:$Q$43,2)</f>
        <v>86</v>
      </c>
      <c r="F475">
        <f>IF(LEFT(A475,3)="B60",20,IF(LEFT(A475,3)="B12",30,25))+B475*0.5+INT(Summary!M488*20)</f>
        <v>299</v>
      </c>
      <c r="G475">
        <f>ROUND(IF(OR(ISERROR(FIND(Summary!$P$89,CONCATENATE(C475,D475,E475))),ISERROR(FIND(Summary!$Q$89,A475))),Summary!$R$45,IF(H475&gt;Summary!$V$3,Summary!$R$46,Summary!$R$45))*(B475+30),0)</f>
        <v>6</v>
      </c>
      <c r="H475">
        <f>IF(H474&gt;Summary!$V$4,0,H474+F474)</f>
        <v>175172</v>
      </c>
      <c r="I475" s="26">
        <f>DATE(YEAR(Summary!$V$2),MONTH(Summary!$V$2),DAY(Summary!$V$2)+INT(H475/480))</f>
        <v>43954</v>
      </c>
      <c r="J475" s="27">
        <f t="shared" si="8"/>
        <v>0.64722222222222225</v>
      </c>
    </row>
    <row r="476" spans="1:10">
      <c r="A476" t="str">
        <f>VLOOKUP(Summary!M475,Summary!$P$13:$Q$24,2)</f>
        <v>B1700-plum</v>
      </c>
      <c r="B476">
        <f>ROUND(NORMINV(Summary!M477,VLOOKUP(A476,Summary!$Q$13:$S$24,3,FALSE),VLOOKUP(A476,Summary!$Q$13:$S$24,3,FALSE)/6),-1)</f>
        <v>250</v>
      </c>
      <c r="C476" t="str">
        <f>IF(AND(H476=0,C475=Summary!$P$2),Summary!$Q$2,IF(AND(H476=0,C475=Summary!$Q$2),Summary!$R$2,C475))</f>
        <v>Neesha</v>
      </c>
      <c r="D476" t="str">
        <f>IF(C476=Summary!$P$26,VLOOKUP(Summary!M483,Summary!$Q$26:$R$27,2),IF('Run Data'!C476=Summary!$P$28,VLOOKUP(Summary!M483,Summary!$Q$28:$R$29,2),VLOOKUP(Summary!M483,Summary!$Q$30:$R$32,2)))</f>
        <v>Sprig 4</v>
      </c>
      <c r="E476" t="str">
        <f>VLOOKUP(Summary!M486,Summary!$P$42:$Q$43,2)</f>
        <v>86</v>
      </c>
      <c r="F476">
        <f>IF(LEFT(A476,3)="B60",20,IF(LEFT(A476,3)="B12",30,25))+B476*0.5+INT(Summary!M489*20)</f>
        <v>169</v>
      </c>
      <c r="G476">
        <f>ROUND(IF(OR(ISERROR(FIND(Summary!$P$89,CONCATENATE(C476,D476,E476))),ISERROR(FIND(Summary!$Q$89,A476))),Summary!$R$45,IF(H476&gt;Summary!$V$3,Summary!$R$46,Summary!$R$45))*(B476+30),0)</f>
        <v>34</v>
      </c>
      <c r="H476">
        <f>IF(H475&gt;Summary!$V$4,0,H475+F475)</f>
        <v>175471</v>
      </c>
      <c r="I476" s="26">
        <f>DATE(YEAR(Summary!$V$2),MONTH(Summary!$V$2),DAY(Summary!$V$2)+INT(H476/480))</f>
        <v>43955</v>
      </c>
      <c r="J476" s="27">
        <f t="shared" si="8"/>
        <v>0.52152777777777781</v>
      </c>
    </row>
    <row r="477" spans="1:10">
      <c r="A477" t="str">
        <f>VLOOKUP(Summary!M476,Summary!$P$13:$Q$24,2)</f>
        <v>B1700-sky</v>
      </c>
      <c r="B477">
        <f>ROUND(NORMINV(Summary!M478,VLOOKUP(A477,Summary!$Q$13:$S$24,3,FALSE),VLOOKUP(A477,Summary!$Q$13:$S$24,3,FALSE)/6),-1)</f>
        <v>530</v>
      </c>
      <c r="C477" t="str">
        <f>IF(AND(H477=0,C476=Summary!$P$2),Summary!$Q$2,IF(AND(H477=0,C476=Summary!$Q$2),Summary!$R$2,C476))</f>
        <v>Neesha</v>
      </c>
      <c r="D477" t="str">
        <f>IF(C477=Summary!$P$26,VLOOKUP(Summary!M484,Summary!$Q$26:$R$27,2),IF('Run Data'!C477=Summary!$P$28,VLOOKUP(Summary!M484,Summary!$Q$28:$R$29,2),VLOOKUP(Summary!M484,Summary!$Q$30:$R$32,2)))</f>
        <v>Sprig 1</v>
      </c>
      <c r="E477" t="str">
        <f>VLOOKUP(Summary!M487,Summary!$P$42:$Q$43,2)</f>
        <v>87b</v>
      </c>
      <c r="F477">
        <f>IF(LEFT(A477,3)="B60",20,IF(LEFT(A477,3)="B12",30,25))+B477*0.5+INT(Summary!M490*20)</f>
        <v>305</v>
      </c>
      <c r="G477">
        <f>ROUND(IF(OR(ISERROR(FIND(Summary!$P$89,CONCATENATE(C477,D477,E477))),ISERROR(FIND(Summary!$Q$89,A477))),Summary!$R$45,IF(H477&gt;Summary!$V$3,Summary!$R$46,Summary!$R$45))*(B477+30),0)</f>
        <v>6</v>
      </c>
      <c r="H477">
        <f>IF(H476&gt;Summary!$V$4,0,H476+F476)</f>
        <v>175640</v>
      </c>
      <c r="I477" s="26">
        <f>DATE(YEAR(Summary!$V$2),MONTH(Summary!$V$2),DAY(Summary!$V$2)+INT(H477/480))</f>
        <v>43955</v>
      </c>
      <c r="J477" s="27">
        <f t="shared" si="8"/>
        <v>0.63888888888888895</v>
      </c>
    </row>
    <row r="478" spans="1:10">
      <c r="A478" t="str">
        <f>VLOOKUP(Summary!M477,Summary!$P$13:$Q$24,2)</f>
        <v>B600-fire</v>
      </c>
      <c r="B478">
        <f>ROUND(NORMINV(Summary!M479,VLOOKUP(A478,Summary!$Q$13:$S$24,3,FALSE),VLOOKUP(A478,Summary!$Q$13:$S$24,3,FALSE)/6),-1)</f>
        <v>380</v>
      </c>
      <c r="C478" t="str">
        <f>IF(AND(H478=0,C477=Summary!$P$2),Summary!$Q$2,IF(AND(H478=0,C477=Summary!$Q$2),Summary!$R$2,C477))</f>
        <v>Neesha</v>
      </c>
      <c r="D478" t="str">
        <f>IF(C478=Summary!$P$26,VLOOKUP(Summary!M485,Summary!$Q$26:$R$27,2),IF('Run Data'!C478=Summary!$P$28,VLOOKUP(Summary!M485,Summary!$Q$28:$R$29,2),VLOOKUP(Summary!M485,Summary!$Q$30:$R$32,2)))</f>
        <v>Sprig 1</v>
      </c>
      <c r="E478" t="str">
        <f>VLOOKUP(Summary!M488,Summary!$P$42:$Q$43,2)</f>
        <v>86</v>
      </c>
      <c r="F478">
        <f>IF(LEFT(A478,3)="B60",20,IF(LEFT(A478,3)="B12",30,25))+B478*0.5+INT(Summary!M491*20)</f>
        <v>218</v>
      </c>
      <c r="G478">
        <f>ROUND(IF(OR(ISERROR(FIND(Summary!$P$89,CONCATENATE(C478,D478,E478))),ISERROR(FIND(Summary!$Q$89,A478))),Summary!$R$45,IF(H478&gt;Summary!$V$3,Summary!$R$46,Summary!$R$45))*(B478+30),0)</f>
        <v>4</v>
      </c>
      <c r="H478">
        <f>IF(H477&gt;Summary!$V$4,0,H477+F477)</f>
        <v>175945</v>
      </c>
      <c r="I478" s="26">
        <f>DATE(YEAR(Summary!$V$2),MONTH(Summary!$V$2),DAY(Summary!$V$2)+INT(H478/480))</f>
        <v>43956</v>
      </c>
      <c r="J478" s="27">
        <f t="shared" si="8"/>
        <v>0.51736111111111105</v>
      </c>
    </row>
    <row r="479" spans="1:10">
      <c r="A479" t="str">
        <f>VLOOKUP(Summary!M478,Summary!$P$13:$Q$24,2)</f>
        <v>B1200-sky</v>
      </c>
      <c r="B479">
        <f>ROUND(NORMINV(Summary!M480,VLOOKUP(A479,Summary!$Q$13:$S$24,3,FALSE),VLOOKUP(A479,Summary!$Q$13:$S$24,3,FALSE)/6),-1)</f>
        <v>1400</v>
      </c>
      <c r="C479" t="str">
        <f>IF(AND(H479=0,C478=Summary!$P$2),Summary!$Q$2,IF(AND(H479=0,C478=Summary!$Q$2),Summary!$R$2,C478))</f>
        <v>Neesha</v>
      </c>
      <c r="D479" t="str">
        <f>IF(C479=Summary!$P$26,VLOOKUP(Summary!M486,Summary!$Q$26:$R$27,2),IF('Run Data'!C479=Summary!$P$28,VLOOKUP(Summary!M486,Summary!$Q$28:$R$29,2),VLOOKUP(Summary!M486,Summary!$Q$30:$R$32,2)))</f>
        <v>Sprig 1</v>
      </c>
      <c r="E479" t="str">
        <f>VLOOKUP(Summary!M489,Summary!$P$42:$Q$43,2)</f>
        <v>87b</v>
      </c>
      <c r="F479">
        <f>IF(LEFT(A479,3)="B60",20,IF(LEFT(A479,3)="B12",30,25))+B479*0.5+INT(Summary!M492*20)</f>
        <v>749</v>
      </c>
      <c r="G479">
        <f>ROUND(IF(OR(ISERROR(FIND(Summary!$P$89,CONCATENATE(C479,D479,E479))),ISERROR(FIND(Summary!$Q$89,A479))),Summary!$R$45,IF(H479&gt;Summary!$V$3,Summary!$R$46,Summary!$R$45))*(B479+30),0)</f>
        <v>14</v>
      </c>
      <c r="H479">
        <f>IF(H478&gt;Summary!$V$4,0,H478+F478)</f>
        <v>176163</v>
      </c>
      <c r="I479" s="26">
        <f>DATE(YEAR(Summary!$V$2),MONTH(Summary!$V$2),DAY(Summary!$V$2)+INT(H479/480))</f>
        <v>43957</v>
      </c>
      <c r="J479" s="27">
        <f t="shared" si="8"/>
        <v>0.3354166666666667</v>
      </c>
    </row>
    <row r="480" spans="1:10">
      <c r="A480" t="str">
        <f>VLOOKUP(Summary!M479,Summary!$P$13:$Q$24,2)</f>
        <v>B1200-sky</v>
      </c>
      <c r="B480">
        <f>ROUND(NORMINV(Summary!M481,VLOOKUP(A480,Summary!$Q$13:$S$24,3,FALSE),VLOOKUP(A480,Summary!$Q$13:$S$24,3,FALSE)/6),-1)</f>
        <v>1310</v>
      </c>
      <c r="C480" t="str">
        <f>IF(AND(H480=0,C479=Summary!$P$2),Summary!$Q$2,IF(AND(H480=0,C479=Summary!$Q$2),Summary!$R$2,C479))</f>
        <v>Neesha</v>
      </c>
      <c r="D480" t="str">
        <f>IF(C480=Summary!$P$26,VLOOKUP(Summary!M487,Summary!$Q$26:$R$27,2),IF('Run Data'!C480=Summary!$P$28,VLOOKUP(Summary!M487,Summary!$Q$28:$R$29,2),VLOOKUP(Summary!M487,Summary!$Q$30:$R$32,2)))</f>
        <v>Sprig 4</v>
      </c>
      <c r="E480" t="str">
        <f>VLOOKUP(Summary!M490,Summary!$P$42:$Q$43,2)</f>
        <v>86</v>
      </c>
      <c r="F480">
        <f>IF(LEFT(A480,3)="B60",20,IF(LEFT(A480,3)="B12",30,25))+B480*0.5+INT(Summary!M493*20)</f>
        <v>700</v>
      </c>
      <c r="G480">
        <f>ROUND(IF(OR(ISERROR(FIND(Summary!$P$89,CONCATENATE(C480,D480,E480))),ISERROR(FIND(Summary!$Q$89,A480))),Summary!$R$45,IF(H480&gt;Summary!$V$3,Summary!$R$46,Summary!$R$45))*(B480+30),0)</f>
        <v>13</v>
      </c>
      <c r="H480">
        <f>IF(H479&gt;Summary!$V$4,0,H479+F479)</f>
        <v>176912</v>
      </c>
      <c r="I480" s="26">
        <f>DATE(YEAR(Summary!$V$2),MONTH(Summary!$V$2),DAY(Summary!$V$2)+INT(H480/480))</f>
        <v>43958</v>
      </c>
      <c r="J480" s="27">
        <f t="shared" si="8"/>
        <v>0.52222222222222225</v>
      </c>
    </row>
    <row r="481" spans="1:10">
      <c r="A481" t="str">
        <f>VLOOKUP(Summary!M480,Summary!$P$13:$Q$24,2)</f>
        <v>B1700-sky</v>
      </c>
      <c r="B481">
        <f>ROUND(NORMINV(Summary!M482,VLOOKUP(A481,Summary!$Q$13:$S$24,3,FALSE),VLOOKUP(A481,Summary!$Q$13:$S$24,3,FALSE)/6),-1)</f>
        <v>590</v>
      </c>
      <c r="C481" t="str">
        <f>IF(AND(H481=0,C480=Summary!$P$2),Summary!$Q$2,IF(AND(H481=0,C480=Summary!$Q$2),Summary!$R$2,C480))</f>
        <v>Neesha</v>
      </c>
      <c r="D481" t="str">
        <f>IF(C481=Summary!$P$26,VLOOKUP(Summary!M488,Summary!$Q$26:$R$27,2),IF('Run Data'!C481=Summary!$P$28,VLOOKUP(Summary!M488,Summary!$Q$28:$R$29,2),VLOOKUP(Summary!M488,Summary!$Q$30:$R$32,2)))</f>
        <v>Sprig 1</v>
      </c>
      <c r="E481" t="str">
        <f>VLOOKUP(Summary!M491,Summary!$P$42:$Q$43,2)</f>
        <v>86</v>
      </c>
      <c r="F481">
        <f>IF(LEFT(A481,3)="B60",20,IF(LEFT(A481,3)="B12",30,25))+B481*0.5+INT(Summary!M494*20)</f>
        <v>330</v>
      </c>
      <c r="G481">
        <f>ROUND(IF(OR(ISERROR(FIND(Summary!$P$89,CONCATENATE(C481,D481,E481))),ISERROR(FIND(Summary!$Q$89,A481))),Summary!$R$45,IF(H481&gt;Summary!$V$3,Summary!$R$46,Summary!$R$45))*(B481+30),0)</f>
        <v>74</v>
      </c>
      <c r="H481">
        <f>IF(H480&gt;Summary!$V$4,0,H480+F480)</f>
        <v>177612</v>
      </c>
      <c r="I481" s="26">
        <f>DATE(YEAR(Summary!$V$2),MONTH(Summary!$V$2),DAY(Summary!$V$2)+INT(H481/480))</f>
        <v>43960</v>
      </c>
      <c r="J481" s="27">
        <f t="shared" si="8"/>
        <v>0.34166666666666662</v>
      </c>
    </row>
    <row r="482" spans="1:10">
      <c r="A482" t="str">
        <f>VLOOKUP(Summary!M481,Summary!$P$13:$Q$24,2)</f>
        <v>B1700-plum</v>
      </c>
      <c r="B482">
        <f>ROUND(NORMINV(Summary!M483,VLOOKUP(A482,Summary!$Q$13:$S$24,3,FALSE),VLOOKUP(A482,Summary!$Q$13:$S$24,3,FALSE)/6),-1)</f>
        <v>410</v>
      </c>
      <c r="C482" t="str">
        <f>IF(AND(H482=0,C481=Summary!$P$2),Summary!$Q$2,IF(AND(H482=0,C481=Summary!$Q$2),Summary!$R$2,C481))</f>
        <v>Neesha</v>
      </c>
      <c r="D482" t="str">
        <f>IF(C482=Summary!$P$26,VLOOKUP(Summary!M489,Summary!$Q$26:$R$27,2),IF('Run Data'!C482=Summary!$P$28,VLOOKUP(Summary!M489,Summary!$Q$28:$R$29,2),VLOOKUP(Summary!M489,Summary!$Q$30:$R$32,2)))</f>
        <v>Sprig 4</v>
      </c>
      <c r="E482" t="str">
        <f>VLOOKUP(Summary!M492,Summary!$P$42:$Q$43,2)</f>
        <v>87b</v>
      </c>
      <c r="F482">
        <f>IF(LEFT(A482,3)="B60",20,IF(LEFT(A482,3)="B12",30,25))+B482*0.5+INT(Summary!M495*20)</f>
        <v>240</v>
      </c>
      <c r="G482">
        <f>ROUND(IF(OR(ISERROR(FIND(Summary!$P$89,CONCATENATE(C482,D482,E482))),ISERROR(FIND(Summary!$Q$89,A482))),Summary!$R$45,IF(H482&gt;Summary!$V$3,Summary!$R$46,Summary!$R$45))*(B482+30),0)</f>
        <v>4</v>
      </c>
      <c r="H482">
        <f>IF(H481&gt;Summary!$V$4,0,H481+F481)</f>
        <v>177942</v>
      </c>
      <c r="I482" s="26">
        <f>DATE(YEAR(Summary!$V$2),MONTH(Summary!$V$2),DAY(Summary!$V$2)+INT(H482/480))</f>
        <v>43960</v>
      </c>
      <c r="J482" s="27">
        <f t="shared" si="8"/>
        <v>0.5708333333333333</v>
      </c>
    </row>
    <row r="483" spans="1:10">
      <c r="A483" t="str">
        <f>VLOOKUP(Summary!M482,Summary!$P$13:$Q$24,2)</f>
        <v>B1200-lime</v>
      </c>
      <c r="B483">
        <f>ROUND(NORMINV(Summary!M484,VLOOKUP(A483,Summary!$Q$13:$S$24,3,FALSE),VLOOKUP(A483,Summary!$Q$13:$S$24,3,FALSE)/6),-1)</f>
        <v>500</v>
      </c>
      <c r="C483" t="str">
        <f>IF(AND(H483=0,C482=Summary!$P$2),Summary!$Q$2,IF(AND(H483=0,C482=Summary!$Q$2),Summary!$R$2,C482))</f>
        <v>Neesha</v>
      </c>
      <c r="D483" t="str">
        <f>IF(C483=Summary!$P$26,VLOOKUP(Summary!M490,Summary!$Q$26:$R$27,2),IF('Run Data'!C483=Summary!$P$28,VLOOKUP(Summary!M490,Summary!$Q$28:$R$29,2),VLOOKUP(Summary!M490,Summary!$Q$30:$R$32,2)))</f>
        <v>Sprig 4</v>
      </c>
      <c r="E483" t="str">
        <f>VLOOKUP(Summary!M493,Summary!$P$42:$Q$43,2)</f>
        <v>86</v>
      </c>
      <c r="F483">
        <f>IF(LEFT(A483,3)="B60",20,IF(LEFT(A483,3)="B12",30,25))+B483*0.5+INT(Summary!M496*20)</f>
        <v>298</v>
      </c>
      <c r="G483">
        <f>ROUND(IF(OR(ISERROR(FIND(Summary!$P$89,CONCATENATE(C483,D483,E483))),ISERROR(FIND(Summary!$Q$89,A483))),Summary!$R$45,IF(H483&gt;Summary!$V$3,Summary!$R$46,Summary!$R$45))*(B483+30),0)</f>
        <v>5</v>
      </c>
      <c r="H483">
        <f>IF(H482&gt;Summary!$V$4,0,H482+F482)</f>
        <v>178182</v>
      </c>
      <c r="I483" s="26">
        <f>DATE(YEAR(Summary!$V$2),MONTH(Summary!$V$2),DAY(Summary!$V$2)+INT(H483/480))</f>
        <v>43961</v>
      </c>
      <c r="J483" s="27">
        <f t="shared" si="8"/>
        <v>0.40416666666666662</v>
      </c>
    </row>
    <row r="484" spans="1:10">
      <c r="A484" t="str">
        <f>VLOOKUP(Summary!M483,Summary!$P$13:$Q$24,2)</f>
        <v>B1700-lime</v>
      </c>
      <c r="B484">
        <f>ROUND(NORMINV(Summary!M485,VLOOKUP(A484,Summary!$Q$13:$S$24,3,FALSE),VLOOKUP(A484,Summary!$Q$13:$S$24,3,FALSE)/6),-1)</f>
        <v>360</v>
      </c>
      <c r="C484" t="str">
        <f>IF(AND(H484=0,C483=Summary!$P$2),Summary!$Q$2,IF(AND(H484=0,C483=Summary!$Q$2),Summary!$R$2,C483))</f>
        <v>Neesha</v>
      </c>
      <c r="D484" t="str">
        <f>IF(C484=Summary!$P$26,VLOOKUP(Summary!M491,Summary!$Q$26:$R$27,2),IF('Run Data'!C484=Summary!$P$28,VLOOKUP(Summary!M491,Summary!$Q$28:$R$29,2),VLOOKUP(Summary!M491,Summary!$Q$30:$R$32,2)))</f>
        <v>Sprig 1</v>
      </c>
      <c r="E484" t="str">
        <f>VLOOKUP(Summary!M494,Summary!$P$42:$Q$43,2)</f>
        <v>86</v>
      </c>
      <c r="F484">
        <f>IF(LEFT(A484,3)="B60",20,IF(LEFT(A484,3)="B12",30,25))+B484*0.5+INT(Summary!M497*20)</f>
        <v>224</v>
      </c>
      <c r="G484">
        <f>ROUND(IF(OR(ISERROR(FIND(Summary!$P$89,CONCATENATE(C484,D484,E484))),ISERROR(FIND(Summary!$Q$89,A484))),Summary!$R$45,IF(H484&gt;Summary!$V$3,Summary!$R$46,Summary!$R$45))*(B484+30),0)</f>
        <v>47</v>
      </c>
      <c r="H484">
        <f>IF(H483&gt;Summary!$V$4,0,H483+F483)</f>
        <v>178480</v>
      </c>
      <c r="I484" s="26">
        <f>DATE(YEAR(Summary!$V$2),MONTH(Summary!$V$2),DAY(Summary!$V$2)+INT(H484/480))</f>
        <v>43961</v>
      </c>
      <c r="J484" s="27">
        <f t="shared" si="8"/>
        <v>0.61111111111111105</v>
      </c>
    </row>
    <row r="485" spans="1:10">
      <c r="A485" t="str">
        <f>VLOOKUP(Summary!M484,Summary!$P$13:$Q$24,2)</f>
        <v>B600-plum</v>
      </c>
      <c r="B485">
        <f>ROUND(NORMINV(Summary!M486,VLOOKUP(A485,Summary!$Q$13:$S$24,3,FALSE),VLOOKUP(A485,Summary!$Q$13:$S$24,3,FALSE)/6),-1)</f>
        <v>210</v>
      </c>
      <c r="C485" t="str">
        <f>IF(AND(H485=0,C484=Summary!$P$2),Summary!$Q$2,IF(AND(H485=0,C484=Summary!$Q$2),Summary!$R$2,C484))</f>
        <v>Neesha</v>
      </c>
      <c r="D485" t="str">
        <f>IF(C485=Summary!$P$26,VLOOKUP(Summary!M492,Summary!$Q$26:$R$27,2),IF('Run Data'!C485=Summary!$P$28,VLOOKUP(Summary!M492,Summary!$Q$28:$R$29,2),VLOOKUP(Summary!M492,Summary!$Q$30:$R$32,2)))</f>
        <v>Sprig 4</v>
      </c>
      <c r="E485" t="str">
        <f>VLOOKUP(Summary!M495,Summary!$P$42:$Q$43,2)</f>
        <v>86</v>
      </c>
      <c r="F485">
        <f>IF(LEFT(A485,3)="B60",20,IF(LEFT(A485,3)="B12",30,25))+B485*0.5+INT(Summary!M498*20)</f>
        <v>140</v>
      </c>
      <c r="G485">
        <f>ROUND(IF(OR(ISERROR(FIND(Summary!$P$89,CONCATENATE(C485,D485,E485))),ISERROR(FIND(Summary!$Q$89,A485))),Summary!$R$45,IF(H485&gt;Summary!$V$3,Summary!$R$46,Summary!$R$45))*(B485+30),0)</f>
        <v>2</v>
      </c>
      <c r="H485">
        <f>IF(H484&gt;Summary!$V$4,0,H484+F484)</f>
        <v>178704</v>
      </c>
      <c r="I485" s="26">
        <f>DATE(YEAR(Summary!$V$2),MONTH(Summary!$V$2),DAY(Summary!$V$2)+INT(H485/480))</f>
        <v>43962</v>
      </c>
      <c r="J485" s="27">
        <f t="shared" si="8"/>
        <v>0.43333333333333335</v>
      </c>
    </row>
    <row r="486" spans="1:10">
      <c r="A486" t="str">
        <f>VLOOKUP(Summary!M485,Summary!$P$13:$Q$24,2)</f>
        <v>B1200-plum</v>
      </c>
      <c r="B486">
        <f>ROUND(NORMINV(Summary!M487,VLOOKUP(A486,Summary!$Q$13:$S$24,3,FALSE),VLOOKUP(A486,Summary!$Q$13:$S$24,3,FALSE)/6),-1)</f>
        <v>540</v>
      </c>
      <c r="C486" t="str">
        <f>IF(AND(H486=0,C485=Summary!$P$2),Summary!$Q$2,IF(AND(H486=0,C485=Summary!$Q$2),Summary!$R$2,C485))</f>
        <v>Neesha</v>
      </c>
      <c r="D486" t="str">
        <f>IF(C486=Summary!$P$26,VLOOKUP(Summary!M493,Summary!$Q$26:$R$27,2),IF('Run Data'!C486=Summary!$P$28,VLOOKUP(Summary!M493,Summary!$Q$28:$R$29,2),VLOOKUP(Summary!M493,Summary!$Q$30:$R$32,2)))</f>
        <v>Sprig 4</v>
      </c>
      <c r="E486" t="str">
        <f>VLOOKUP(Summary!M496,Summary!$P$42:$Q$43,2)</f>
        <v>87b</v>
      </c>
      <c r="F486">
        <f>IF(LEFT(A486,3)="B60",20,IF(LEFT(A486,3)="B12",30,25))+B486*0.5+INT(Summary!M499*20)</f>
        <v>305</v>
      </c>
      <c r="G486">
        <f>ROUND(IF(OR(ISERROR(FIND(Summary!$P$89,CONCATENATE(C486,D486,E486))),ISERROR(FIND(Summary!$Q$89,A486))),Summary!$R$45,IF(H486&gt;Summary!$V$3,Summary!$R$46,Summary!$R$45))*(B486+30),0)</f>
        <v>6</v>
      </c>
      <c r="H486">
        <f>IF(H485&gt;Summary!$V$4,0,H485+F485)</f>
        <v>178844</v>
      </c>
      <c r="I486" s="26">
        <f>DATE(YEAR(Summary!$V$2),MONTH(Summary!$V$2),DAY(Summary!$V$2)+INT(H486/480))</f>
        <v>43962</v>
      </c>
      <c r="J486" s="27">
        <f t="shared" si="8"/>
        <v>0.53055555555555556</v>
      </c>
    </row>
    <row r="487" spans="1:10">
      <c r="A487" t="str">
        <f>VLOOKUP(Summary!M486,Summary!$P$13:$Q$24,2)</f>
        <v>B1200-lime</v>
      </c>
      <c r="B487">
        <f>ROUND(NORMINV(Summary!M488,VLOOKUP(A487,Summary!$Q$13:$S$24,3,FALSE),VLOOKUP(A487,Summary!$Q$13:$S$24,3,FALSE)/6),-1)</f>
        <v>690</v>
      </c>
      <c r="C487" t="str">
        <f>IF(AND(H487=0,C486=Summary!$P$2),Summary!$Q$2,IF(AND(H487=0,C486=Summary!$Q$2),Summary!$R$2,C486))</f>
        <v>Neesha</v>
      </c>
      <c r="D487" t="str">
        <f>IF(C487=Summary!$P$26,VLOOKUP(Summary!M494,Summary!$Q$26:$R$27,2),IF('Run Data'!C487=Summary!$P$28,VLOOKUP(Summary!M494,Summary!$Q$28:$R$29,2),VLOOKUP(Summary!M494,Summary!$Q$30:$R$32,2)))</f>
        <v>Sprig 1</v>
      </c>
      <c r="E487" t="str">
        <f>VLOOKUP(Summary!M497,Summary!$P$42:$Q$43,2)</f>
        <v>87b</v>
      </c>
      <c r="F487">
        <f>IF(LEFT(A487,3)="B60",20,IF(LEFT(A487,3)="B12",30,25))+B487*0.5+INT(Summary!M500*20)</f>
        <v>382</v>
      </c>
      <c r="G487">
        <f>ROUND(IF(OR(ISERROR(FIND(Summary!$P$89,CONCATENATE(C487,D487,E487))),ISERROR(FIND(Summary!$Q$89,A487))),Summary!$R$45,IF(H487&gt;Summary!$V$3,Summary!$R$46,Summary!$R$45))*(B487+30),0)</f>
        <v>7</v>
      </c>
      <c r="H487">
        <f>IF(H486&gt;Summary!$V$4,0,H486+F486)</f>
        <v>179149</v>
      </c>
      <c r="I487" s="26">
        <f>DATE(YEAR(Summary!$V$2),MONTH(Summary!$V$2),DAY(Summary!$V$2)+INT(H487/480))</f>
        <v>43963</v>
      </c>
      <c r="J487" s="27">
        <f t="shared" si="8"/>
        <v>0.40902777777777777</v>
      </c>
    </row>
    <row r="488" spans="1:10">
      <c r="A488" t="str">
        <f>VLOOKUP(Summary!M487,Summary!$P$13:$Q$24,2)</f>
        <v>B1700-fire</v>
      </c>
      <c r="B488">
        <f>ROUND(NORMINV(Summary!M489,VLOOKUP(A488,Summary!$Q$13:$S$24,3,FALSE),VLOOKUP(A488,Summary!$Q$13:$S$24,3,FALSE)/6),-1)</f>
        <v>1000</v>
      </c>
      <c r="C488" t="str">
        <f>IF(AND(H488=0,C487=Summary!$P$2),Summary!$Q$2,IF(AND(H488=0,C487=Summary!$Q$2),Summary!$R$2,C487))</f>
        <v>Neesha</v>
      </c>
      <c r="D488" t="str">
        <f>IF(C488=Summary!$P$26,VLOOKUP(Summary!M495,Summary!$Q$26:$R$27,2),IF('Run Data'!C488=Summary!$P$28,VLOOKUP(Summary!M495,Summary!$Q$28:$R$29,2),VLOOKUP(Summary!M495,Summary!$Q$30:$R$32,2)))</f>
        <v>Sprig 1</v>
      </c>
      <c r="E488" t="str">
        <f>VLOOKUP(Summary!M498,Summary!$P$42:$Q$43,2)</f>
        <v>86</v>
      </c>
      <c r="F488">
        <f>IF(LEFT(A488,3)="B60",20,IF(LEFT(A488,3)="B12",30,25))+B488*0.5+INT(Summary!M501*20)</f>
        <v>543</v>
      </c>
      <c r="G488">
        <f>ROUND(IF(OR(ISERROR(FIND(Summary!$P$89,CONCATENATE(C488,D488,E488))),ISERROR(FIND(Summary!$Q$89,A488))),Summary!$R$45,IF(H488&gt;Summary!$V$3,Summary!$R$46,Summary!$R$45))*(B488+30),0)</f>
        <v>124</v>
      </c>
      <c r="H488">
        <f>IF(H487&gt;Summary!$V$4,0,H487+F487)</f>
        <v>179531</v>
      </c>
      <c r="I488" s="26">
        <f>DATE(YEAR(Summary!$V$2),MONTH(Summary!$V$2),DAY(Summary!$V$2)+INT(H488/480))</f>
        <v>43964</v>
      </c>
      <c r="J488" s="27">
        <f t="shared" si="8"/>
        <v>0.34097222222222223</v>
      </c>
    </row>
    <row r="489" spans="1:10">
      <c r="A489" t="str">
        <f>VLOOKUP(Summary!M488,Summary!$P$13:$Q$24,2)</f>
        <v>B600-lime</v>
      </c>
      <c r="B489">
        <f>ROUND(NORMINV(Summary!M490,VLOOKUP(A489,Summary!$Q$13:$S$24,3,FALSE),VLOOKUP(A489,Summary!$Q$13:$S$24,3,FALSE)/6),-1)</f>
        <v>340</v>
      </c>
      <c r="C489" t="str">
        <f>IF(AND(H489=0,C488=Summary!$P$2),Summary!$Q$2,IF(AND(H489=0,C488=Summary!$Q$2),Summary!$R$2,C488))</f>
        <v>Neesha</v>
      </c>
      <c r="D489" t="str">
        <f>IF(C489=Summary!$P$26,VLOOKUP(Summary!M496,Summary!$Q$26:$R$27,2),IF('Run Data'!C489=Summary!$P$28,VLOOKUP(Summary!M496,Summary!$Q$28:$R$29,2),VLOOKUP(Summary!M496,Summary!$Q$30:$R$32,2)))</f>
        <v>Sprig 4</v>
      </c>
      <c r="E489" t="str">
        <f>VLOOKUP(Summary!M499,Summary!$P$42:$Q$43,2)</f>
        <v>86</v>
      </c>
      <c r="F489">
        <f>IF(LEFT(A489,3)="B60",20,IF(LEFT(A489,3)="B12",30,25))+B489*0.5+INT(Summary!M502*20)</f>
        <v>209</v>
      </c>
      <c r="G489">
        <f>ROUND(IF(OR(ISERROR(FIND(Summary!$P$89,CONCATENATE(C489,D489,E489))),ISERROR(FIND(Summary!$Q$89,A489))),Summary!$R$45,IF(H489&gt;Summary!$V$3,Summary!$R$46,Summary!$R$45))*(B489+30),0)</f>
        <v>4</v>
      </c>
      <c r="H489">
        <f>IF(H488&gt;Summary!$V$4,0,H488+F488)</f>
        <v>180074</v>
      </c>
      <c r="I489" s="26">
        <f>DATE(YEAR(Summary!$V$2),MONTH(Summary!$V$2),DAY(Summary!$V$2)+INT(H489/480))</f>
        <v>43965</v>
      </c>
      <c r="J489" s="27">
        <f t="shared" si="8"/>
        <v>0.38472222222222219</v>
      </c>
    </row>
    <row r="490" spans="1:10">
      <c r="A490" t="str">
        <f>VLOOKUP(Summary!M489,Summary!$P$13:$Q$24,2)</f>
        <v>B1700-lime</v>
      </c>
      <c r="B490">
        <f>ROUND(NORMINV(Summary!M491,VLOOKUP(A490,Summary!$Q$13:$S$24,3,FALSE),VLOOKUP(A490,Summary!$Q$13:$S$24,3,FALSE)/6),-1)</f>
        <v>390</v>
      </c>
      <c r="C490" t="str">
        <f>IF(AND(H490=0,C489=Summary!$P$2),Summary!$Q$2,IF(AND(H490=0,C489=Summary!$Q$2),Summary!$R$2,C489))</f>
        <v>Neesha</v>
      </c>
      <c r="D490" t="str">
        <f>IF(C490=Summary!$P$26,VLOOKUP(Summary!M497,Summary!$Q$26:$R$27,2),IF('Run Data'!C490=Summary!$P$28,VLOOKUP(Summary!M497,Summary!$Q$28:$R$29,2),VLOOKUP(Summary!M497,Summary!$Q$30:$R$32,2)))</f>
        <v>Sprig 4</v>
      </c>
      <c r="E490" t="str">
        <f>VLOOKUP(Summary!M500,Summary!$P$42:$Q$43,2)</f>
        <v>86</v>
      </c>
      <c r="F490">
        <f>IF(LEFT(A490,3)="B60",20,IF(LEFT(A490,3)="B12",30,25))+B490*0.5+INT(Summary!M503*20)</f>
        <v>228</v>
      </c>
      <c r="G490">
        <f>ROUND(IF(OR(ISERROR(FIND(Summary!$P$89,CONCATENATE(C490,D490,E490))),ISERROR(FIND(Summary!$Q$89,A490))),Summary!$R$45,IF(H490&gt;Summary!$V$3,Summary!$R$46,Summary!$R$45))*(B490+30),0)</f>
        <v>50</v>
      </c>
      <c r="H490">
        <f>IF(H489&gt;Summary!$V$4,0,H489+F489)</f>
        <v>180283</v>
      </c>
      <c r="I490" s="26">
        <f>DATE(YEAR(Summary!$V$2),MONTH(Summary!$V$2),DAY(Summary!$V$2)+INT(H490/480))</f>
        <v>43965</v>
      </c>
      <c r="J490" s="27">
        <f t="shared" si="8"/>
        <v>0.52986111111111112</v>
      </c>
    </row>
    <row r="491" spans="1:10">
      <c r="A491" t="str">
        <f>VLOOKUP(Summary!M490,Summary!$P$13:$Q$24,2)</f>
        <v>B1700-plum</v>
      </c>
      <c r="B491">
        <f>ROUND(NORMINV(Summary!M492,VLOOKUP(A491,Summary!$Q$13:$S$24,3,FALSE),VLOOKUP(A491,Summary!$Q$13:$S$24,3,FALSE)/6),-1)</f>
        <v>390</v>
      </c>
      <c r="C491" t="str">
        <f>IF(AND(H491=0,C490=Summary!$P$2),Summary!$Q$2,IF(AND(H491=0,C490=Summary!$Q$2),Summary!$R$2,C490))</f>
        <v>Neesha</v>
      </c>
      <c r="D491" t="str">
        <f>IF(C491=Summary!$P$26,VLOOKUP(Summary!M498,Summary!$Q$26:$R$27,2),IF('Run Data'!C491=Summary!$P$28,VLOOKUP(Summary!M498,Summary!$Q$28:$R$29,2),VLOOKUP(Summary!M498,Summary!$Q$30:$R$32,2)))</f>
        <v>Sprig 4</v>
      </c>
      <c r="E491" t="str">
        <f>VLOOKUP(Summary!M501,Summary!$P$42:$Q$43,2)</f>
        <v>87b</v>
      </c>
      <c r="F491">
        <f>IF(LEFT(A491,3)="B60",20,IF(LEFT(A491,3)="B12",30,25))+B491*0.5+INT(Summary!M504*20)</f>
        <v>220</v>
      </c>
      <c r="G491">
        <f>ROUND(IF(OR(ISERROR(FIND(Summary!$P$89,CONCATENATE(C491,D491,E491))),ISERROR(FIND(Summary!$Q$89,A491))),Summary!$R$45,IF(H491&gt;Summary!$V$3,Summary!$R$46,Summary!$R$45))*(B491+30),0)</f>
        <v>4</v>
      </c>
      <c r="H491">
        <f>IF(H490&gt;Summary!$V$4,0,H490+F490)</f>
        <v>180511</v>
      </c>
      <c r="I491" s="26">
        <f>DATE(YEAR(Summary!$V$2),MONTH(Summary!$V$2),DAY(Summary!$V$2)+INT(H491/480))</f>
        <v>43966</v>
      </c>
      <c r="J491" s="27">
        <f t="shared" si="8"/>
        <v>0.35486111111111113</v>
      </c>
    </row>
    <row r="492" spans="1:10">
      <c r="A492" t="str">
        <f>VLOOKUP(Summary!M491,Summary!$P$13:$Q$24,2)</f>
        <v>B1200-sky</v>
      </c>
      <c r="B492">
        <f>ROUND(NORMINV(Summary!M493,VLOOKUP(A492,Summary!$Q$13:$S$24,3,FALSE),VLOOKUP(A492,Summary!$Q$13:$S$24,3,FALSE)/6),-1)</f>
        <v>1350</v>
      </c>
      <c r="C492" t="str">
        <f>IF(AND(H492=0,C491=Summary!$P$2),Summary!$Q$2,IF(AND(H492=0,C491=Summary!$Q$2),Summary!$R$2,C491))</f>
        <v>Neesha</v>
      </c>
      <c r="D492" t="str">
        <f>IF(C492=Summary!$P$26,VLOOKUP(Summary!M499,Summary!$Q$26:$R$27,2),IF('Run Data'!C492=Summary!$P$28,VLOOKUP(Summary!M499,Summary!$Q$28:$R$29,2),VLOOKUP(Summary!M499,Summary!$Q$30:$R$32,2)))</f>
        <v>Sprig 1</v>
      </c>
      <c r="E492" t="str">
        <f>VLOOKUP(Summary!M502,Summary!$P$42:$Q$43,2)</f>
        <v>87b</v>
      </c>
      <c r="F492">
        <f>IF(LEFT(A492,3)="B60",20,IF(LEFT(A492,3)="B12",30,25))+B492*0.5+INT(Summary!M505*20)</f>
        <v>719</v>
      </c>
      <c r="G492">
        <f>ROUND(IF(OR(ISERROR(FIND(Summary!$P$89,CONCATENATE(C492,D492,E492))),ISERROR(FIND(Summary!$Q$89,A492))),Summary!$R$45,IF(H492&gt;Summary!$V$3,Summary!$R$46,Summary!$R$45))*(B492+30),0)</f>
        <v>14</v>
      </c>
      <c r="H492">
        <f>IF(H491&gt;Summary!$V$4,0,H491+F491)</f>
        <v>180731</v>
      </c>
      <c r="I492" s="26">
        <f>DATE(YEAR(Summary!$V$2),MONTH(Summary!$V$2),DAY(Summary!$V$2)+INT(H492/480))</f>
        <v>43966</v>
      </c>
      <c r="J492" s="27">
        <f t="shared" si="8"/>
        <v>0.50763888888888886</v>
      </c>
    </row>
    <row r="493" spans="1:10">
      <c r="A493" t="str">
        <f>VLOOKUP(Summary!M492,Summary!$P$13:$Q$24,2)</f>
        <v>B1700-lime</v>
      </c>
      <c r="B493">
        <f>ROUND(NORMINV(Summary!M494,VLOOKUP(A493,Summary!$Q$13:$S$24,3,FALSE),VLOOKUP(A493,Summary!$Q$13:$S$24,3,FALSE)/6),-1)</f>
        <v>400</v>
      </c>
      <c r="C493" t="str">
        <f>IF(AND(H493=0,C492=Summary!$P$2),Summary!$Q$2,IF(AND(H493=0,C492=Summary!$Q$2),Summary!$R$2,C492))</f>
        <v>Neesha</v>
      </c>
      <c r="D493" t="str">
        <f>IF(C493=Summary!$P$26,VLOOKUP(Summary!M500,Summary!$Q$26:$R$27,2),IF('Run Data'!C493=Summary!$P$28,VLOOKUP(Summary!M500,Summary!$Q$28:$R$29,2),VLOOKUP(Summary!M500,Summary!$Q$30:$R$32,2)))</f>
        <v>Sprig 1</v>
      </c>
      <c r="E493" t="str">
        <f>VLOOKUP(Summary!M503,Summary!$P$42:$Q$43,2)</f>
        <v>86</v>
      </c>
      <c r="F493">
        <f>IF(LEFT(A493,3)="B60",20,IF(LEFT(A493,3)="B12",30,25))+B493*0.5+INT(Summary!M506*20)</f>
        <v>242</v>
      </c>
      <c r="G493">
        <f>ROUND(IF(OR(ISERROR(FIND(Summary!$P$89,CONCATENATE(C493,D493,E493))),ISERROR(FIND(Summary!$Q$89,A493))),Summary!$R$45,IF(H493&gt;Summary!$V$3,Summary!$R$46,Summary!$R$45))*(B493+30),0)</f>
        <v>52</v>
      </c>
      <c r="H493">
        <f>IF(H492&gt;Summary!$V$4,0,H492+F492)</f>
        <v>181450</v>
      </c>
      <c r="I493" s="26">
        <f>DATE(YEAR(Summary!$V$2),MONTH(Summary!$V$2),DAY(Summary!$V$2)+INT(H493/480))</f>
        <v>43968</v>
      </c>
      <c r="J493" s="27">
        <f t="shared" si="8"/>
        <v>0.34027777777777773</v>
      </c>
    </row>
    <row r="494" spans="1:10">
      <c r="A494" t="str">
        <f>VLOOKUP(Summary!M493,Summary!$P$13:$Q$24,2)</f>
        <v>B1700-plum</v>
      </c>
      <c r="B494">
        <f>ROUND(NORMINV(Summary!M495,VLOOKUP(A494,Summary!$Q$13:$S$24,3,FALSE),VLOOKUP(A494,Summary!$Q$13:$S$24,3,FALSE)/6),-1)</f>
        <v>300</v>
      </c>
      <c r="C494" t="str">
        <f>IF(AND(H494=0,C493=Summary!$P$2),Summary!$Q$2,IF(AND(H494=0,C493=Summary!$Q$2),Summary!$R$2,C493))</f>
        <v>Neesha</v>
      </c>
      <c r="D494" t="str">
        <f>IF(C494=Summary!$P$26,VLOOKUP(Summary!M501,Summary!$Q$26:$R$27,2),IF('Run Data'!C494=Summary!$P$28,VLOOKUP(Summary!M501,Summary!$Q$28:$R$29,2),VLOOKUP(Summary!M501,Summary!$Q$30:$R$32,2)))</f>
        <v>Sprig 4</v>
      </c>
      <c r="E494" t="str">
        <f>VLOOKUP(Summary!M504,Summary!$P$42:$Q$43,2)</f>
        <v>86</v>
      </c>
      <c r="F494">
        <f>IF(LEFT(A494,3)="B60",20,IF(LEFT(A494,3)="B12",30,25))+B494*0.5+INT(Summary!M507*20)</f>
        <v>183</v>
      </c>
      <c r="G494">
        <f>ROUND(IF(OR(ISERROR(FIND(Summary!$P$89,CONCATENATE(C494,D494,E494))),ISERROR(FIND(Summary!$Q$89,A494))),Summary!$R$45,IF(H494&gt;Summary!$V$3,Summary!$R$46,Summary!$R$45))*(B494+30),0)</f>
        <v>40</v>
      </c>
      <c r="H494">
        <f>IF(H493&gt;Summary!$V$4,0,H493+F493)</f>
        <v>181692</v>
      </c>
      <c r="I494" s="26">
        <f>DATE(YEAR(Summary!$V$2),MONTH(Summary!$V$2),DAY(Summary!$V$2)+INT(H494/480))</f>
        <v>43968</v>
      </c>
      <c r="J494" s="27">
        <f t="shared" si="8"/>
        <v>0.5083333333333333</v>
      </c>
    </row>
    <row r="495" spans="1:10">
      <c r="A495" t="str">
        <f>VLOOKUP(Summary!M494,Summary!$P$13:$Q$24,2)</f>
        <v>B1200-fire</v>
      </c>
      <c r="B495">
        <f>ROUND(NORMINV(Summary!M496,VLOOKUP(A495,Summary!$Q$13:$S$24,3,FALSE),VLOOKUP(A495,Summary!$Q$13:$S$24,3,FALSE)/6),-1)</f>
        <v>1460</v>
      </c>
      <c r="C495" t="str">
        <f>IF(AND(H495=0,C494=Summary!$P$2),Summary!$Q$2,IF(AND(H495=0,C494=Summary!$Q$2),Summary!$R$2,C494))</f>
        <v>Neesha</v>
      </c>
      <c r="D495" t="str">
        <f>IF(C495=Summary!$P$26,VLOOKUP(Summary!M502,Summary!$Q$26:$R$27,2),IF('Run Data'!C495=Summary!$P$28,VLOOKUP(Summary!M502,Summary!$Q$28:$R$29,2),VLOOKUP(Summary!M502,Summary!$Q$30:$R$32,2)))</f>
        <v>Sprig 4</v>
      </c>
      <c r="E495" t="str">
        <f>VLOOKUP(Summary!M505,Summary!$P$42:$Q$43,2)</f>
        <v>86</v>
      </c>
      <c r="F495">
        <f>IF(LEFT(A495,3)="B60",20,IF(LEFT(A495,3)="B12",30,25))+B495*0.5+INT(Summary!M508*20)</f>
        <v>769</v>
      </c>
      <c r="G495">
        <f>ROUND(IF(OR(ISERROR(FIND(Summary!$P$89,CONCATENATE(C495,D495,E495))),ISERROR(FIND(Summary!$Q$89,A495))),Summary!$R$45,IF(H495&gt;Summary!$V$3,Summary!$R$46,Summary!$R$45))*(B495+30),0)</f>
        <v>15</v>
      </c>
      <c r="H495">
        <f>IF(H494&gt;Summary!$V$4,0,H494+F494)</f>
        <v>181875</v>
      </c>
      <c r="I495" s="26">
        <f>DATE(YEAR(Summary!$V$2),MONTH(Summary!$V$2),DAY(Summary!$V$2)+INT(H495/480))</f>
        <v>43968</v>
      </c>
      <c r="J495" s="27">
        <f t="shared" si="8"/>
        <v>0.63541666666666663</v>
      </c>
    </row>
    <row r="496" spans="1:10">
      <c r="A496" t="str">
        <f>VLOOKUP(Summary!M495,Summary!$P$13:$Q$24,2)</f>
        <v>B1200-fire</v>
      </c>
      <c r="B496">
        <f>ROUND(NORMINV(Summary!M497,VLOOKUP(A496,Summary!$Q$13:$S$24,3,FALSE),VLOOKUP(A496,Summary!$Q$13:$S$24,3,FALSE)/6),-1)</f>
        <v>1530</v>
      </c>
      <c r="C496" t="str">
        <f>IF(AND(H496=0,C495=Summary!$P$2),Summary!$Q$2,IF(AND(H496=0,C495=Summary!$Q$2),Summary!$R$2,C495))</f>
        <v>Neesha</v>
      </c>
      <c r="D496" t="str">
        <f>IF(C496=Summary!$P$26,VLOOKUP(Summary!M503,Summary!$Q$26:$R$27,2),IF('Run Data'!C496=Summary!$P$28,VLOOKUP(Summary!M503,Summary!$Q$28:$R$29,2),VLOOKUP(Summary!M503,Summary!$Q$30:$R$32,2)))</f>
        <v>Sprig 1</v>
      </c>
      <c r="E496" t="str">
        <f>VLOOKUP(Summary!M506,Summary!$P$42:$Q$43,2)</f>
        <v>87b</v>
      </c>
      <c r="F496">
        <f>IF(LEFT(A496,3)="B60",20,IF(LEFT(A496,3)="B12",30,25))+B496*0.5+INT(Summary!M509*20)</f>
        <v>807</v>
      </c>
      <c r="G496">
        <f>ROUND(IF(OR(ISERROR(FIND(Summary!$P$89,CONCATENATE(C496,D496,E496))),ISERROR(FIND(Summary!$Q$89,A496))),Summary!$R$45,IF(H496&gt;Summary!$V$3,Summary!$R$46,Summary!$R$45))*(B496+30),0)</f>
        <v>16</v>
      </c>
      <c r="H496">
        <f>IF(H495&gt;Summary!$V$4,0,H495+F495)</f>
        <v>182644</v>
      </c>
      <c r="I496" s="26">
        <f>DATE(YEAR(Summary!$V$2),MONTH(Summary!$V$2),DAY(Summary!$V$2)+INT(H496/480))</f>
        <v>43970</v>
      </c>
      <c r="J496" s="27">
        <f t="shared" si="8"/>
        <v>0.50277777777777777</v>
      </c>
    </row>
    <row r="497" spans="1:10">
      <c r="A497" t="str">
        <f>VLOOKUP(Summary!M496,Summary!$P$13:$Q$24,2)</f>
        <v>B1700-fire</v>
      </c>
      <c r="B497">
        <f>ROUND(NORMINV(Summary!M498,VLOOKUP(A497,Summary!$Q$13:$S$24,3,FALSE),VLOOKUP(A497,Summary!$Q$13:$S$24,3,FALSE)/6),-1)</f>
        <v>830</v>
      </c>
      <c r="C497" t="str">
        <f>IF(AND(H497=0,C496=Summary!$P$2),Summary!$Q$2,IF(AND(H497=0,C496=Summary!$Q$2),Summary!$R$2,C496))</f>
        <v>Neesha</v>
      </c>
      <c r="D497" t="str">
        <f>IF(C497=Summary!$P$26,VLOOKUP(Summary!M504,Summary!$Q$26:$R$27,2),IF('Run Data'!C497=Summary!$P$28,VLOOKUP(Summary!M504,Summary!$Q$28:$R$29,2),VLOOKUP(Summary!M504,Summary!$Q$30:$R$32,2)))</f>
        <v>Sprig 1</v>
      </c>
      <c r="E497" t="str">
        <f>VLOOKUP(Summary!M507,Summary!$P$42:$Q$43,2)</f>
        <v>86</v>
      </c>
      <c r="F497">
        <f>IF(LEFT(A497,3)="B60",20,IF(LEFT(A497,3)="B12",30,25))+B497*0.5+INT(Summary!M510*20)</f>
        <v>458</v>
      </c>
      <c r="G497">
        <f>ROUND(IF(OR(ISERROR(FIND(Summary!$P$89,CONCATENATE(C497,D497,E497))),ISERROR(FIND(Summary!$Q$89,A497))),Summary!$R$45,IF(H497&gt;Summary!$V$3,Summary!$R$46,Summary!$R$45))*(B497+30),0)</f>
        <v>103</v>
      </c>
      <c r="H497">
        <f>IF(H496&gt;Summary!$V$4,0,H496+F496)</f>
        <v>183451</v>
      </c>
      <c r="I497" s="26">
        <f>DATE(YEAR(Summary!$V$2),MONTH(Summary!$V$2),DAY(Summary!$V$2)+INT(H497/480))</f>
        <v>43972</v>
      </c>
      <c r="J497" s="27">
        <f t="shared" si="8"/>
        <v>0.39652777777777781</v>
      </c>
    </row>
    <row r="498" spans="1:10">
      <c r="A498" t="str">
        <f>VLOOKUP(Summary!M497,Summary!$P$13:$Q$24,2)</f>
        <v>B1700-lime</v>
      </c>
      <c r="B498">
        <f>ROUND(NORMINV(Summary!M499,VLOOKUP(A498,Summary!$Q$13:$S$24,3,FALSE),VLOOKUP(A498,Summary!$Q$13:$S$24,3,FALSE)/6),-1)</f>
        <v>360</v>
      </c>
      <c r="C498" t="str">
        <f>IF(AND(H498=0,C497=Summary!$P$2),Summary!$Q$2,IF(AND(H498=0,C497=Summary!$Q$2),Summary!$R$2,C497))</f>
        <v>Neesha</v>
      </c>
      <c r="D498" t="str">
        <f>IF(C498=Summary!$P$26,VLOOKUP(Summary!M505,Summary!$Q$26:$R$27,2),IF('Run Data'!C498=Summary!$P$28,VLOOKUP(Summary!M505,Summary!$Q$28:$R$29,2),VLOOKUP(Summary!M505,Summary!$Q$30:$R$32,2)))</f>
        <v>Sprig 1</v>
      </c>
      <c r="E498" t="str">
        <f>VLOOKUP(Summary!M508,Summary!$P$42:$Q$43,2)</f>
        <v>86</v>
      </c>
      <c r="F498">
        <f>IF(LEFT(A498,3)="B60",20,IF(LEFT(A498,3)="B12",30,25))+B498*0.5+INT(Summary!M511*20)</f>
        <v>210</v>
      </c>
      <c r="G498">
        <f>ROUND(IF(OR(ISERROR(FIND(Summary!$P$89,CONCATENATE(C498,D498,E498))),ISERROR(FIND(Summary!$Q$89,A498))),Summary!$R$45,IF(H498&gt;Summary!$V$3,Summary!$R$46,Summary!$R$45))*(B498+30),0)</f>
        <v>47</v>
      </c>
      <c r="H498">
        <f>IF(H497&gt;Summary!$V$4,0,H497+F497)</f>
        <v>183909</v>
      </c>
      <c r="I498" s="26">
        <f>DATE(YEAR(Summary!$V$2),MONTH(Summary!$V$2),DAY(Summary!$V$2)+INT(H498/480))</f>
        <v>43973</v>
      </c>
      <c r="J498" s="27">
        <f t="shared" si="8"/>
        <v>0.38125000000000003</v>
      </c>
    </row>
    <row r="499" spans="1:10">
      <c r="A499" t="str">
        <f>VLOOKUP(Summary!M498,Summary!$P$13:$Q$24,2)</f>
        <v>B1700-plum</v>
      </c>
      <c r="B499">
        <f>ROUND(NORMINV(Summary!M500,VLOOKUP(A499,Summary!$Q$13:$S$24,3,FALSE),VLOOKUP(A499,Summary!$Q$13:$S$24,3,FALSE)/6),-1)</f>
        <v>280</v>
      </c>
      <c r="C499" t="str">
        <f>IF(AND(H499=0,C498=Summary!$P$2),Summary!$Q$2,IF(AND(H499=0,C498=Summary!$Q$2),Summary!$R$2,C498))</f>
        <v>Neesha</v>
      </c>
      <c r="D499" t="str">
        <f>IF(C499=Summary!$P$26,VLOOKUP(Summary!M506,Summary!$Q$26:$R$27,2),IF('Run Data'!C499=Summary!$P$28,VLOOKUP(Summary!M506,Summary!$Q$28:$R$29,2),VLOOKUP(Summary!M506,Summary!$Q$30:$R$32,2)))</f>
        <v>Sprig 4</v>
      </c>
      <c r="E499" t="str">
        <f>VLOOKUP(Summary!M509,Summary!$P$42:$Q$43,2)</f>
        <v>86</v>
      </c>
      <c r="F499">
        <f>IF(LEFT(A499,3)="B60",20,IF(LEFT(A499,3)="B12",30,25))+B499*0.5+INT(Summary!M512*20)</f>
        <v>165</v>
      </c>
      <c r="G499">
        <f>ROUND(IF(OR(ISERROR(FIND(Summary!$P$89,CONCATENATE(C499,D499,E499))),ISERROR(FIND(Summary!$Q$89,A499))),Summary!$R$45,IF(H499&gt;Summary!$V$3,Summary!$R$46,Summary!$R$45))*(B499+30),0)</f>
        <v>37</v>
      </c>
      <c r="H499">
        <f>IF(H498&gt;Summary!$V$4,0,H498+F498)</f>
        <v>184119</v>
      </c>
      <c r="I499" s="26">
        <f>DATE(YEAR(Summary!$V$2),MONTH(Summary!$V$2),DAY(Summary!$V$2)+INT(H499/480))</f>
        <v>43973</v>
      </c>
      <c r="J499" s="27">
        <f t="shared" si="8"/>
        <v>0.52708333333333335</v>
      </c>
    </row>
    <row r="500" spans="1:10">
      <c r="A500" t="str">
        <f>VLOOKUP(Summary!M499,Summary!$P$13:$Q$24,2)</f>
        <v>B1200-plum</v>
      </c>
      <c r="B500">
        <f>ROUND(NORMINV(Summary!M501,VLOOKUP(A500,Summary!$Q$13:$S$24,3,FALSE),VLOOKUP(A500,Summary!$Q$13:$S$24,3,FALSE)/6),-1)</f>
        <v>550</v>
      </c>
      <c r="C500" t="str">
        <f>IF(AND(H500=0,C499=Summary!$P$2),Summary!$Q$2,IF(AND(H500=0,C499=Summary!$Q$2),Summary!$R$2,C499))</f>
        <v>Neesha</v>
      </c>
      <c r="D500" t="str">
        <f>IF(C500=Summary!$P$26,VLOOKUP(Summary!M507,Summary!$Q$26:$R$27,2),IF('Run Data'!C500=Summary!$P$28,VLOOKUP(Summary!M507,Summary!$Q$28:$R$29,2),VLOOKUP(Summary!M507,Summary!$Q$30:$R$32,2)))</f>
        <v>Sprig 1</v>
      </c>
      <c r="E500" t="str">
        <f>VLOOKUP(Summary!M510,Summary!$P$42:$Q$43,2)</f>
        <v>87b</v>
      </c>
      <c r="F500">
        <f>IF(LEFT(A500,3)="B60",20,IF(LEFT(A500,3)="B12",30,25))+B500*0.5+INT(Summary!M513*20)</f>
        <v>312</v>
      </c>
      <c r="G500">
        <f>ROUND(IF(OR(ISERROR(FIND(Summary!$P$89,CONCATENATE(C500,D500,E500))),ISERROR(FIND(Summary!$Q$89,A500))),Summary!$R$45,IF(H500&gt;Summary!$V$3,Summary!$R$46,Summary!$R$45))*(B500+30),0)</f>
        <v>6</v>
      </c>
      <c r="H500">
        <f>IF(H499&gt;Summary!$V$4,0,H499+F499)</f>
        <v>184284</v>
      </c>
      <c r="I500" s="26">
        <f>DATE(YEAR(Summary!$V$2),MONTH(Summary!$V$2),DAY(Summary!$V$2)+INT(H500/480))</f>
        <v>43973</v>
      </c>
      <c r="J500" s="27">
        <f t="shared" si="8"/>
        <v>0.64166666666666672</v>
      </c>
    </row>
    <row r="501" spans="1:10">
      <c r="A501" t="str">
        <f>VLOOKUP(Summary!M500,Summary!$P$13:$Q$24,2)</f>
        <v>B1200-sky</v>
      </c>
      <c r="B501">
        <f>ROUND(NORMINV(Summary!M502,VLOOKUP(A501,Summary!$Q$13:$S$24,3,FALSE),VLOOKUP(A501,Summary!$Q$13:$S$24,3,FALSE)/6),-1)</f>
        <v>1590</v>
      </c>
      <c r="C501" t="str">
        <f>IF(AND(H501=0,C500=Summary!$P$2),Summary!$Q$2,IF(AND(H501=0,C500=Summary!$Q$2),Summary!$R$2,C500))</f>
        <v>Neesha</v>
      </c>
      <c r="D501" t="str">
        <f>IF(C501=Summary!$P$26,VLOOKUP(Summary!M508,Summary!$Q$26:$R$27,2),IF('Run Data'!C501=Summary!$P$28,VLOOKUP(Summary!M508,Summary!$Q$28:$R$29,2),VLOOKUP(Summary!M508,Summary!$Q$30:$R$32,2)))</f>
        <v>Sprig 1</v>
      </c>
      <c r="E501" t="str">
        <f>VLOOKUP(Summary!M511,Summary!$P$42:$Q$43,2)</f>
        <v>86</v>
      </c>
      <c r="F501">
        <f>IF(LEFT(A501,3)="B60",20,IF(LEFT(A501,3)="B12",30,25))+B501*0.5+INT(Summary!M514*20)</f>
        <v>837</v>
      </c>
      <c r="G501">
        <f>ROUND(IF(OR(ISERROR(FIND(Summary!$P$89,CONCATENATE(C501,D501,E501))),ISERROR(FIND(Summary!$Q$89,A501))),Summary!$R$45,IF(H501&gt;Summary!$V$3,Summary!$R$46,Summary!$R$45))*(B501+30),0)</f>
        <v>16</v>
      </c>
      <c r="H501">
        <f>IF(H500&gt;Summary!$V$4,0,H500+F500)</f>
        <v>184596</v>
      </c>
      <c r="I501" s="26">
        <f>DATE(YEAR(Summary!$V$2),MONTH(Summary!$V$2),DAY(Summary!$V$2)+INT(H501/480))</f>
        <v>43974</v>
      </c>
      <c r="J501" s="27">
        <f t="shared" si="8"/>
        <v>0.52500000000000002</v>
      </c>
    </row>
    <row r="502" spans="1:10">
      <c r="A502" t="str">
        <f>VLOOKUP(Summary!M501,Summary!$P$13:$Q$24,2)</f>
        <v>B1700-lime</v>
      </c>
      <c r="B502">
        <f>ROUND(NORMINV(Summary!M503,VLOOKUP(A502,Summary!$Q$13:$S$24,3,FALSE),VLOOKUP(A502,Summary!$Q$13:$S$24,3,FALSE)/6),-1)</f>
        <v>390</v>
      </c>
      <c r="C502" t="str">
        <f>IF(AND(H502=0,C501=Summary!$P$2),Summary!$Q$2,IF(AND(H502=0,C501=Summary!$Q$2),Summary!$R$2,C501))</f>
        <v>Neesha</v>
      </c>
      <c r="D502" t="str">
        <f>IF(C502=Summary!$P$26,VLOOKUP(Summary!M509,Summary!$Q$26:$R$27,2),IF('Run Data'!C502=Summary!$P$28,VLOOKUP(Summary!M509,Summary!$Q$28:$R$29,2),VLOOKUP(Summary!M509,Summary!$Q$30:$R$32,2)))</f>
        <v>Sprig 1</v>
      </c>
      <c r="E502" t="str">
        <f>VLOOKUP(Summary!M512,Summary!$P$42:$Q$43,2)</f>
        <v>86</v>
      </c>
      <c r="F502">
        <f>IF(LEFT(A502,3)="B60",20,IF(LEFT(A502,3)="B12",30,25))+B502*0.5+INT(Summary!M515*20)</f>
        <v>220</v>
      </c>
      <c r="G502">
        <f>ROUND(IF(OR(ISERROR(FIND(Summary!$P$89,CONCATENATE(C502,D502,E502))),ISERROR(FIND(Summary!$Q$89,A502))),Summary!$R$45,IF(H502&gt;Summary!$V$3,Summary!$R$46,Summary!$R$45))*(B502+30),0)</f>
        <v>50</v>
      </c>
      <c r="H502">
        <f>IF(H501&gt;Summary!$V$4,0,H501+F501)</f>
        <v>185433</v>
      </c>
      <c r="I502" s="26">
        <f>DATE(YEAR(Summary!$V$2),MONTH(Summary!$V$2),DAY(Summary!$V$2)+INT(H502/480))</f>
        <v>43976</v>
      </c>
      <c r="J502" s="27">
        <f t="shared" si="8"/>
        <v>0.43958333333333338</v>
      </c>
    </row>
    <row r="503" spans="1:10">
      <c r="A503" t="str">
        <f>VLOOKUP(Summary!M502,Summary!$P$13:$Q$24,2)</f>
        <v>B1700-lime</v>
      </c>
      <c r="B503">
        <f>ROUND(NORMINV(Summary!M504,VLOOKUP(A503,Summary!$Q$13:$S$24,3,FALSE),VLOOKUP(A503,Summary!$Q$13:$S$24,3,FALSE)/6),-1)</f>
        <v>280</v>
      </c>
      <c r="C503" t="str">
        <f>IF(AND(H503=0,C502=Summary!$P$2),Summary!$Q$2,IF(AND(H503=0,C502=Summary!$Q$2),Summary!$R$2,C502))</f>
        <v>Neesha</v>
      </c>
      <c r="D503" t="str">
        <f>IF(C503=Summary!$P$26,VLOOKUP(Summary!M510,Summary!$Q$26:$R$27,2),IF('Run Data'!C503=Summary!$P$28,VLOOKUP(Summary!M510,Summary!$Q$28:$R$29,2),VLOOKUP(Summary!M510,Summary!$Q$30:$R$32,2)))</f>
        <v>Sprig 4</v>
      </c>
      <c r="E503" t="str">
        <f>VLOOKUP(Summary!M513,Summary!$P$42:$Q$43,2)</f>
        <v>86</v>
      </c>
      <c r="F503">
        <f>IF(LEFT(A503,3)="B60",20,IF(LEFT(A503,3)="B12",30,25))+B503*0.5+INT(Summary!M516*20)</f>
        <v>167</v>
      </c>
      <c r="G503">
        <f>ROUND(IF(OR(ISERROR(FIND(Summary!$P$89,CONCATENATE(C503,D503,E503))),ISERROR(FIND(Summary!$Q$89,A503))),Summary!$R$45,IF(H503&gt;Summary!$V$3,Summary!$R$46,Summary!$R$45))*(B503+30),0)</f>
        <v>37</v>
      </c>
      <c r="H503">
        <f>IF(H502&gt;Summary!$V$4,0,H502+F502)</f>
        <v>185653</v>
      </c>
      <c r="I503" s="26">
        <f>DATE(YEAR(Summary!$V$2),MONTH(Summary!$V$2),DAY(Summary!$V$2)+INT(H503/480))</f>
        <v>43976</v>
      </c>
      <c r="J503" s="27">
        <f t="shared" si="8"/>
        <v>0.59236111111111112</v>
      </c>
    </row>
    <row r="504" spans="1:10">
      <c r="A504" t="str">
        <f>VLOOKUP(Summary!M503,Summary!$P$13:$Q$24,2)</f>
        <v>B1200-sky</v>
      </c>
      <c r="B504">
        <f>ROUND(NORMINV(Summary!M505,VLOOKUP(A504,Summary!$Q$13:$S$24,3,FALSE),VLOOKUP(A504,Summary!$Q$13:$S$24,3,FALSE)/6),-1)</f>
        <v>1320</v>
      </c>
      <c r="C504" t="str">
        <f>IF(AND(H504=0,C503=Summary!$P$2),Summary!$Q$2,IF(AND(H504=0,C503=Summary!$Q$2),Summary!$R$2,C503))</f>
        <v>Neesha</v>
      </c>
      <c r="D504" t="str">
        <f>IF(C504=Summary!$P$26,VLOOKUP(Summary!M511,Summary!$Q$26:$R$27,2),IF('Run Data'!C504=Summary!$P$28,VLOOKUP(Summary!M511,Summary!$Q$28:$R$29,2),VLOOKUP(Summary!M511,Summary!$Q$30:$R$32,2)))</f>
        <v>Sprig 1</v>
      </c>
      <c r="E504" t="str">
        <f>VLOOKUP(Summary!M514,Summary!$P$42:$Q$43,2)</f>
        <v>86</v>
      </c>
      <c r="F504">
        <f>IF(LEFT(A504,3)="B60",20,IF(LEFT(A504,3)="B12",30,25))+B504*0.5+INT(Summary!M517*20)</f>
        <v>709</v>
      </c>
      <c r="G504">
        <f>ROUND(IF(OR(ISERROR(FIND(Summary!$P$89,CONCATENATE(C504,D504,E504))),ISERROR(FIND(Summary!$Q$89,A504))),Summary!$R$45,IF(H504&gt;Summary!$V$3,Summary!$R$46,Summary!$R$45))*(B504+30),0)</f>
        <v>14</v>
      </c>
      <c r="H504">
        <f>IF(H503&gt;Summary!$V$4,0,H503+F503)</f>
        <v>185820</v>
      </c>
      <c r="I504" s="26">
        <f>DATE(YEAR(Summary!$V$2),MONTH(Summary!$V$2),DAY(Summary!$V$2)+INT(H504/480))</f>
        <v>43977</v>
      </c>
      <c r="J504" s="27">
        <f t="shared" si="8"/>
        <v>0.375</v>
      </c>
    </row>
    <row r="505" spans="1:10">
      <c r="A505" t="str">
        <f>VLOOKUP(Summary!M504,Summary!$P$13:$Q$24,2)</f>
        <v>B600-plum</v>
      </c>
      <c r="B505">
        <f>ROUND(NORMINV(Summary!M506,VLOOKUP(A505,Summary!$Q$13:$S$24,3,FALSE),VLOOKUP(A505,Summary!$Q$13:$S$24,3,FALSE)/6),-1)</f>
        <v>240</v>
      </c>
      <c r="C505" t="str">
        <f>IF(AND(H505=0,C504=Summary!$P$2),Summary!$Q$2,IF(AND(H505=0,C504=Summary!$Q$2),Summary!$R$2,C504))</f>
        <v>Neesha</v>
      </c>
      <c r="D505" t="str">
        <f>IF(C505=Summary!$P$26,VLOOKUP(Summary!M512,Summary!$Q$26:$R$27,2),IF('Run Data'!C505=Summary!$P$28,VLOOKUP(Summary!M512,Summary!$Q$28:$R$29,2),VLOOKUP(Summary!M512,Summary!$Q$30:$R$32,2)))</f>
        <v>Sprig 1</v>
      </c>
      <c r="E505" t="str">
        <f>VLOOKUP(Summary!M515,Summary!$P$42:$Q$43,2)</f>
        <v>86</v>
      </c>
      <c r="F505">
        <f>IF(LEFT(A505,3)="B60",20,IF(LEFT(A505,3)="B12",30,25))+B505*0.5+INT(Summary!M518*20)</f>
        <v>140</v>
      </c>
      <c r="G505">
        <f>ROUND(IF(OR(ISERROR(FIND(Summary!$P$89,CONCATENATE(C505,D505,E505))),ISERROR(FIND(Summary!$Q$89,A505))),Summary!$R$45,IF(H505&gt;Summary!$V$3,Summary!$R$46,Summary!$R$45))*(B505+30),0)</f>
        <v>3</v>
      </c>
      <c r="H505">
        <f>IF(H504&gt;Summary!$V$4,0,H504+F504)</f>
        <v>186529</v>
      </c>
      <c r="I505" s="26">
        <f>DATE(YEAR(Summary!$V$2),MONTH(Summary!$V$2),DAY(Summary!$V$2)+INT(H505/480))</f>
        <v>43978</v>
      </c>
      <c r="J505" s="27">
        <f t="shared" si="8"/>
        <v>0.53402777777777777</v>
      </c>
    </row>
    <row r="506" spans="1:10">
      <c r="A506" t="str">
        <f>VLOOKUP(Summary!M505,Summary!$P$13:$Q$24,2)</f>
        <v>B1700-plum</v>
      </c>
      <c r="B506">
        <f>ROUND(NORMINV(Summary!M507,VLOOKUP(A506,Summary!$Q$13:$S$24,3,FALSE),VLOOKUP(A506,Summary!$Q$13:$S$24,3,FALSE)/6),-1)</f>
        <v>290</v>
      </c>
      <c r="C506" t="str">
        <f>IF(AND(H506=0,C505=Summary!$P$2),Summary!$Q$2,IF(AND(H506=0,C505=Summary!$Q$2),Summary!$R$2,C505))</f>
        <v>Neesha</v>
      </c>
      <c r="D506" t="str">
        <f>IF(C506=Summary!$P$26,VLOOKUP(Summary!M513,Summary!$Q$26:$R$27,2),IF('Run Data'!C506=Summary!$P$28,VLOOKUP(Summary!M513,Summary!$Q$28:$R$29,2),VLOOKUP(Summary!M513,Summary!$Q$30:$R$32,2)))</f>
        <v>Sprig 1</v>
      </c>
      <c r="E506" t="str">
        <f>VLOOKUP(Summary!M516,Summary!$P$42:$Q$43,2)</f>
        <v>86</v>
      </c>
      <c r="F506">
        <f>IF(LEFT(A506,3)="B60",20,IF(LEFT(A506,3)="B12",30,25))+B506*0.5+INT(Summary!M519*20)</f>
        <v>189</v>
      </c>
      <c r="G506">
        <f>ROUND(IF(OR(ISERROR(FIND(Summary!$P$89,CONCATENATE(C506,D506,E506))),ISERROR(FIND(Summary!$Q$89,A506))),Summary!$R$45,IF(H506&gt;Summary!$V$3,Summary!$R$46,Summary!$R$45))*(B506+30),0)</f>
        <v>38</v>
      </c>
      <c r="H506">
        <f>IF(H505&gt;Summary!$V$4,0,H505+F505)</f>
        <v>186669</v>
      </c>
      <c r="I506" s="26">
        <f>DATE(YEAR(Summary!$V$2),MONTH(Summary!$V$2),DAY(Summary!$V$2)+INT(H506/480))</f>
        <v>43978</v>
      </c>
      <c r="J506" s="27">
        <f t="shared" si="8"/>
        <v>0.63124999999999998</v>
      </c>
    </row>
    <row r="507" spans="1:10">
      <c r="A507" t="str">
        <f>VLOOKUP(Summary!M506,Summary!$P$13:$Q$24,2)</f>
        <v>B1700-fire</v>
      </c>
      <c r="B507">
        <f>ROUND(NORMINV(Summary!M508,VLOOKUP(A507,Summary!$Q$13:$S$24,3,FALSE),VLOOKUP(A507,Summary!$Q$13:$S$24,3,FALSE)/6),-1)</f>
        <v>740</v>
      </c>
      <c r="C507" t="str">
        <f>IF(AND(H507=0,C506=Summary!$P$2),Summary!$Q$2,IF(AND(H507=0,C506=Summary!$Q$2),Summary!$R$2,C506))</f>
        <v>Neesha</v>
      </c>
      <c r="D507" t="str">
        <f>IF(C507=Summary!$P$26,VLOOKUP(Summary!M514,Summary!$Q$26:$R$27,2),IF('Run Data'!C507=Summary!$P$28,VLOOKUP(Summary!M514,Summary!$Q$28:$R$29,2),VLOOKUP(Summary!M514,Summary!$Q$30:$R$32,2)))</f>
        <v>Sprig 1</v>
      </c>
      <c r="E507" t="str">
        <f>VLOOKUP(Summary!M517,Summary!$P$42:$Q$43,2)</f>
        <v>87b</v>
      </c>
      <c r="F507">
        <f>IF(LEFT(A507,3)="B60",20,IF(LEFT(A507,3)="B12",30,25))+B507*0.5+INT(Summary!M520*20)</f>
        <v>400</v>
      </c>
      <c r="G507">
        <f>ROUND(IF(OR(ISERROR(FIND(Summary!$P$89,CONCATENATE(C507,D507,E507))),ISERROR(FIND(Summary!$Q$89,A507))),Summary!$R$45,IF(H507&gt;Summary!$V$3,Summary!$R$46,Summary!$R$45))*(B507+30),0)</f>
        <v>8</v>
      </c>
      <c r="H507">
        <f>IF(H506&gt;Summary!$V$4,0,H506+F506)</f>
        <v>186858</v>
      </c>
      <c r="I507" s="26">
        <f>DATE(YEAR(Summary!$V$2),MONTH(Summary!$V$2),DAY(Summary!$V$2)+INT(H507/480))</f>
        <v>43979</v>
      </c>
      <c r="J507" s="27">
        <f t="shared" si="8"/>
        <v>0.4291666666666667</v>
      </c>
    </row>
    <row r="508" spans="1:10">
      <c r="A508" t="str">
        <f>VLOOKUP(Summary!M507,Summary!$P$13:$Q$24,2)</f>
        <v>B1200-sky</v>
      </c>
      <c r="B508">
        <f>ROUND(NORMINV(Summary!M509,VLOOKUP(A508,Summary!$Q$13:$S$24,3,FALSE),VLOOKUP(A508,Summary!$Q$13:$S$24,3,FALSE)/6),-1)</f>
        <v>1250</v>
      </c>
      <c r="C508" t="str">
        <f>IF(AND(H508=0,C507=Summary!$P$2),Summary!$Q$2,IF(AND(H508=0,C507=Summary!$Q$2),Summary!$R$2,C507))</f>
        <v>Neesha</v>
      </c>
      <c r="D508" t="str">
        <f>IF(C508=Summary!$P$26,VLOOKUP(Summary!M515,Summary!$Q$26:$R$27,2),IF('Run Data'!C508=Summary!$P$28,VLOOKUP(Summary!M515,Summary!$Q$28:$R$29,2),VLOOKUP(Summary!M515,Summary!$Q$30:$R$32,2)))</f>
        <v>Sprig 1</v>
      </c>
      <c r="E508" t="str">
        <f>VLOOKUP(Summary!M518,Summary!$P$42:$Q$43,2)</f>
        <v>86</v>
      </c>
      <c r="F508">
        <f>IF(LEFT(A508,3)="B60",20,IF(LEFT(A508,3)="B12",30,25))+B508*0.5+INT(Summary!M521*20)</f>
        <v>673</v>
      </c>
      <c r="G508">
        <f>ROUND(IF(OR(ISERROR(FIND(Summary!$P$89,CONCATENATE(C508,D508,E508))),ISERROR(FIND(Summary!$Q$89,A508))),Summary!$R$45,IF(H508&gt;Summary!$V$3,Summary!$R$46,Summary!$R$45))*(B508+30),0)</f>
        <v>13</v>
      </c>
      <c r="H508">
        <f>IF(H507&gt;Summary!$V$4,0,H507+F507)</f>
        <v>187258</v>
      </c>
      <c r="I508" s="26">
        <f>DATE(YEAR(Summary!$V$2),MONTH(Summary!$V$2),DAY(Summary!$V$2)+INT(H508/480))</f>
        <v>43980</v>
      </c>
      <c r="J508" s="27">
        <f t="shared" si="8"/>
        <v>0.37361111111111112</v>
      </c>
    </row>
    <row r="509" spans="1:10">
      <c r="A509" t="str">
        <f>VLOOKUP(Summary!M508,Summary!$P$13:$Q$24,2)</f>
        <v>B1200-fire</v>
      </c>
      <c r="B509">
        <f>ROUND(NORMINV(Summary!M510,VLOOKUP(A509,Summary!$Q$13:$S$24,3,FALSE),VLOOKUP(A509,Summary!$Q$13:$S$24,3,FALSE)/6),-1)</f>
        <v>1480</v>
      </c>
      <c r="C509" t="str">
        <f>IF(AND(H509=0,C508=Summary!$P$2),Summary!$Q$2,IF(AND(H509=0,C508=Summary!$Q$2),Summary!$R$2,C508))</f>
        <v>Neesha</v>
      </c>
      <c r="D509" t="str">
        <f>IF(C509=Summary!$P$26,VLOOKUP(Summary!M516,Summary!$Q$26:$R$27,2),IF('Run Data'!C509=Summary!$P$28,VLOOKUP(Summary!M516,Summary!$Q$28:$R$29,2),VLOOKUP(Summary!M516,Summary!$Q$30:$R$32,2)))</f>
        <v>Sprig 1</v>
      </c>
      <c r="E509" t="str">
        <f>VLOOKUP(Summary!M519,Summary!$P$42:$Q$43,2)</f>
        <v>87b</v>
      </c>
      <c r="F509">
        <f>IF(LEFT(A509,3)="B60",20,IF(LEFT(A509,3)="B12",30,25))+B509*0.5+INT(Summary!M522*20)</f>
        <v>776</v>
      </c>
      <c r="G509">
        <f>ROUND(IF(OR(ISERROR(FIND(Summary!$P$89,CONCATENATE(C509,D509,E509))),ISERROR(FIND(Summary!$Q$89,A509))),Summary!$R$45,IF(H509&gt;Summary!$V$3,Summary!$R$46,Summary!$R$45))*(B509+30),0)</f>
        <v>15</v>
      </c>
      <c r="H509">
        <f>IF(H508&gt;Summary!$V$4,0,H508+F508)</f>
        <v>187931</v>
      </c>
      <c r="I509" s="26">
        <f>DATE(YEAR(Summary!$V$2),MONTH(Summary!$V$2),DAY(Summary!$V$2)+INT(H509/480))</f>
        <v>43981</v>
      </c>
      <c r="J509" s="27">
        <f t="shared" si="8"/>
        <v>0.50763888888888886</v>
      </c>
    </row>
    <row r="510" spans="1:10">
      <c r="A510" t="str">
        <f>VLOOKUP(Summary!M509,Summary!$P$13:$Q$24,2)</f>
        <v>B1200-lime</v>
      </c>
      <c r="B510">
        <f>ROUND(NORMINV(Summary!M511,VLOOKUP(A510,Summary!$Q$13:$S$24,3,FALSE),VLOOKUP(A510,Summary!$Q$13:$S$24,3,FALSE)/6),-1)</f>
        <v>710</v>
      </c>
      <c r="C510" t="str">
        <f>IF(AND(H510=0,C509=Summary!$P$2),Summary!$Q$2,IF(AND(H510=0,C509=Summary!$Q$2),Summary!$R$2,C509))</f>
        <v>Reed</v>
      </c>
      <c r="D510" t="str">
        <f>IF(C510=Summary!$P$26,VLOOKUP(Summary!M517,Summary!$Q$26:$R$27,2),IF('Run Data'!C510=Summary!$P$28,VLOOKUP(Summary!M517,Summary!$Q$28:$R$29,2),VLOOKUP(Summary!M517,Summary!$Q$30:$R$32,2)))</f>
        <v>Sprig 4</v>
      </c>
      <c r="E510" t="str">
        <f>VLOOKUP(Summary!M520,Summary!$P$42:$Q$43,2)</f>
        <v>86</v>
      </c>
      <c r="F510">
        <f>IF(LEFT(A510,3)="B60",20,IF(LEFT(A510,3)="B12",30,25))+B510*0.5+INT(Summary!M523*20)</f>
        <v>404</v>
      </c>
      <c r="G510">
        <f>ROUND(IF(OR(ISERROR(FIND(Summary!$P$89,CONCATENATE(C510,D510,E510))),ISERROR(FIND(Summary!$Q$89,A510))),Summary!$R$45,IF(H510&gt;Summary!$V$3,Summary!$R$46,Summary!$R$45))*(B510+30),0)</f>
        <v>7</v>
      </c>
      <c r="H510">
        <f>IF(H509&gt;Summary!$V$4,0,H509+F509)</f>
        <v>0</v>
      </c>
      <c r="I510" s="26">
        <f>DATE(YEAR(Summary!$V$2),MONTH(Summary!$V$2),DAY(Summary!$V$2)+INT(H510/480))</f>
        <v>43590</v>
      </c>
      <c r="J510" s="27">
        <f t="shared" si="8"/>
        <v>0.33333333333333331</v>
      </c>
    </row>
    <row r="511" spans="1:10">
      <c r="A511" t="str">
        <f>VLOOKUP(Summary!M510,Summary!$P$13:$Q$24,2)</f>
        <v>B1700-lime</v>
      </c>
      <c r="B511">
        <f>ROUND(NORMINV(Summary!M512,VLOOKUP(A511,Summary!$Q$13:$S$24,3,FALSE),VLOOKUP(A511,Summary!$Q$13:$S$24,3,FALSE)/6),-1)</f>
        <v>250</v>
      </c>
      <c r="C511" t="str">
        <f>IF(AND(H511=0,C510=Summary!$P$2),Summary!$Q$2,IF(AND(H511=0,C510=Summary!$Q$2),Summary!$R$2,C510))</f>
        <v>Reed</v>
      </c>
      <c r="D511" t="str">
        <f>IF(C511=Summary!$P$26,VLOOKUP(Summary!M518,Summary!$Q$26:$R$27,2),IF('Run Data'!C511=Summary!$P$28,VLOOKUP(Summary!M518,Summary!$Q$28:$R$29,2),VLOOKUP(Summary!M518,Summary!$Q$30:$R$32,2)))</f>
        <v>Sprig 2</v>
      </c>
      <c r="E511" t="str">
        <f>VLOOKUP(Summary!M521,Summary!$P$42:$Q$43,2)</f>
        <v>87b</v>
      </c>
      <c r="F511">
        <f>IF(LEFT(A511,3)="B60",20,IF(LEFT(A511,3)="B12",30,25))+B511*0.5+INT(Summary!M524*20)</f>
        <v>161</v>
      </c>
      <c r="G511">
        <f>ROUND(IF(OR(ISERROR(FIND(Summary!$P$89,CONCATENATE(C511,D511,E511))),ISERROR(FIND(Summary!$Q$89,A511))),Summary!$R$45,IF(H511&gt;Summary!$V$3,Summary!$R$46,Summary!$R$45))*(B511+30),0)</f>
        <v>3</v>
      </c>
      <c r="H511">
        <f>IF(H510&gt;Summary!$V$4,0,H510+F510)</f>
        <v>404</v>
      </c>
      <c r="I511" s="26">
        <f>DATE(YEAR(Summary!$V$2),MONTH(Summary!$V$2),DAY(Summary!$V$2)+INT(H511/480))</f>
        <v>43590</v>
      </c>
      <c r="J511" s="27">
        <f t="shared" si="8"/>
        <v>0.61388888888888882</v>
      </c>
    </row>
    <row r="512" spans="1:10">
      <c r="A512" t="str">
        <f>VLOOKUP(Summary!M511,Summary!$P$13:$Q$24,2)</f>
        <v>B1200-plum</v>
      </c>
      <c r="B512">
        <f>ROUND(NORMINV(Summary!M513,VLOOKUP(A512,Summary!$Q$13:$S$24,3,FALSE),VLOOKUP(A512,Summary!$Q$13:$S$24,3,FALSE)/6),-1)</f>
        <v>430</v>
      </c>
      <c r="C512" t="str">
        <f>IF(AND(H512=0,C511=Summary!$P$2),Summary!$Q$2,IF(AND(H512=0,C511=Summary!$Q$2),Summary!$R$2,C511))</f>
        <v>Reed</v>
      </c>
      <c r="D512" t="str">
        <f>IF(C512=Summary!$P$26,VLOOKUP(Summary!M519,Summary!$Q$26:$R$27,2),IF('Run Data'!C512=Summary!$P$28,VLOOKUP(Summary!M519,Summary!$Q$28:$R$29,2),VLOOKUP(Summary!M519,Summary!$Q$30:$R$32,2)))</f>
        <v>Sprig 4</v>
      </c>
      <c r="E512" t="str">
        <f>VLOOKUP(Summary!M522,Summary!$P$42:$Q$43,2)</f>
        <v>86</v>
      </c>
      <c r="F512">
        <f>IF(LEFT(A512,3)="B60",20,IF(LEFT(A512,3)="B12",30,25))+B512*0.5+INT(Summary!M525*20)</f>
        <v>253</v>
      </c>
      <c r="G512">
        <f>ROUND(IF(OR(ISERROR(FIND(Summary!$P$89,CONCATENATE(C512,D512,E512))),ISERROR(FIND(Summary!$Q$89,A512))),Summary!$R$45,IF(H512&gt;Summary!$V$3,Summary!$R$46,Summary!$R$45))*(B512+30),0)</f>
        <v>5</v>
      </c>
      <c r="H512">
        <f>IF(H511&gt;Summary!$V$4,0,H511+F511)</f>
        <v>565</v>
      </c>
      <c r="I512" s="26">
        <f>DATE(YEAR(Summary!$V$2),MONTH(Summary!$V$2),DAY(Summary!$V$2)+INT(H512/480))</f>
        <v>43591</v>
      </c>
      <c r="J512" s="27">
        <f t="shared" si="8"/>
        <v>0.3923611111111111</v>
      </c>
    </row>
    <row r="513" spans="1:10">
      <c r="A513" t="str">
        <f>VLOOKUP(Summary!M512,Summary!$P$13:$Q$24,2)</f>
        <v>B600-plum</v>
      </c>
      <c r="B513">
        <f>ROUND(NORMINV(Summary!M514,VLOOKUP(A513,Summary!$Q$13:$S$24,3,FALSE),VLOOKUP(A513,Summary!$Q$13:$S$24,3,FALSE)/6),-1)</f>
        <v>210</v>
      </c>
      <c r="C513" t="str">
        <f>IF(AND(H513=0,C512=Summary!$P$2),Summary!$Q$2,IF(AND(H513=0,C512=Summary!$Q$2),Summary!$R$2,C512))</f>
        <v>Reed</v>
      </c>
      <c r="D513" t="str">
        <f>IF(C513=Summary!$P$26,VLOOKUP(Summary!M520,Summary!$Q$26:$R$27,2),IF('Run Data'!C513=Summary!$P$28,VLOOKUP(Summary!M520,Summary!$Q$28:$R$29,2),VLOOKUP(Summary!M520,Summary!$Q$30:$R$32,2)))</f>
        <v>Sprig 2</v>
      </c>
      <c r="E513" t="str">
        <f>VLOOKUP(Summary!M523,Summary!$P$42:$Q$43,2)</f>
        <v>87b</v>
      </c>
      <c r="F513">
        <f>IF(LEFT(A513,3)="B60",20,IF(LEFT(A513,3)="B12",30,25))+B513*0.5+INT(Summary!M526*20)</f>
        <v>128</v>
      </c>
      <c r="G513">
        <f>ROUND(IF(OR(ISERROR(FIND(Summary!$P$89,CONCATENATE(C513,D513,E513))),ISERROR(FIND(Summary!$Q$89,A513))),Summary!$R$45,IF(H513&gt;Summary!$V$3,Summary!$R$46,Summary!$R$45))*(B513+30),0)</f>
        <v>2</v>
      </c>
      <c r="H513">
        <f>IF(H512&gt;Summary!$V$4,0,H512+F512)</f>
        <v>818</v>
      </c>
      <c r="I513" s="26">
        <f>DATE(YEAR(Summary!$V$2),MONTH(Summary!$V$2),DAY(Summary!$V$2)+INT(H513/480))</f>
        <v>43591</v>
      </c>
      <c r="J513" s="27">
        <f t="shared" si="8"/>
        <v>0.56805555555555554</v>
      </c>
    </row>
    <row r="514" spans="1:10">
      <c r="A514" t="str">
        <f>VLOOKUP(Summary!M513,Summary!$P$13:$Q$24,2)</f>
        <v>B1200-sky</v>
      </c>
      <c r="B514">
        <f>ROUND(NORMINV(Summary!M515,VLOOKUP(A514,Summary!$Q$13:$S$24,3,FALSE),VLOOKUP(A514,Summary!$Q$13:$S$24,3,FALSE)/6),-1)</f>
        <v>870</v>
      </c>
      <c r="C514" t="str">
        <f>IF(AND(H514=0,C513=Summary!$P$2),Summary!$Q$2,IF(AND(H514=0,C513=Summary!$Q$2),Summary!$R$2,C513))</f>
        <v>Reed</v>
      </c>
      <c r="D514" t="str">
        <f>IF(C514=Summary!$P$26,VLOOKUP(Summary!M521,Summary!$Q$26:$R$27,2),IF('Run Data'!C514=Summary!$P$28,VLOOKUP(Summary!M521,Summary!$Q$28:$R$29,2),VLOOKUP(Summary!M521,Summary!$Q$30:$R$32,2)))</f>
        <v>Sprig 4</v>
      </c>
      <c r="E514" t="str">
        <f>VLOOKUP(Summary!M524,Summary!$P$42:$Q$43,2)</f>
        <v>86</v>
      </c>
      <c r="F514">
        <f>IF(LEFT(A514,3)="B60",20,IF(LEFT(A514,3)="B12",30,25))+B514*0.5+INT(Summary!M527*20)</f>
        <v>479</v>
      </c>
      <c r="G514">
        <f>ROUND(IF(OR(ISERROR(FIND(Summary!$P$89,CONCATENATE(C514,D514,E514))),ISERROR(FIND(Summary!$Q$89,A514))),Summary!$R$45,IF(H514&gt;Summary!$V$3,Summary!$R$46,Summary!$R$45))*(B514+30),0)</f>
        <v>9</v>
      </c>
      <c r="H514">
        <f>IF(H513&gt;Summary!$V$4,0,H513+F513)</f>
        <v>946</v>
      </c>
      <c r="I514" s="26">
        <f>DATE(YEAR(Summary!$V$2),MONTH(Summary!$V$2),DAY(Summary!$V$2)+INT(H514/480))</f>
        <v>43591</v>
      </c>
      <c r="J514" s="27">
        <f t="shared" si="8"/>
        <v>0.65694444444444444</v>
      </c>
    </row>
    <row r="515" spans="1:10">
      <c r="A515" t="str">
        <f>VLOOKUP(Summary!M514,Summary!$P$13:$Q$24,2)</f>
        <v>B1200-lime</v>
      </c>
      <c r="B515">
        <f>ROUND(NORMINV(Summary!M516,VLOOKUP(A515,Summary!$Q$13:$S$24,3,FALSE),VLOOKUP(A515,Summary!$Q$13:$S$24,3,FALSE)/6),-1)</f>
        <v>630</v>
      </c>
      <c r="C515" t="str">
        <f>IF(AND(H515=0,C514=Summary!$P$2),Summary!$Q$2,IF(AND(H515=0,C514=Summary!$Q$2),Summary!$R$2,C514))</f>
        <v>Reed</v>
      </c>
      <c r="D515" t="str">
        <f>IF(C515=Summary!$P$26,VLOOKUP(Summary!M522,Summary!$Q$26:$R$27,2),IF('Run Data'!C515=Summary!$P$28,VLOOKUP(Summary!M522,Summary!$Q$28:$R$29,2),VLOOKUP(Summary!M522,Summary!$Q$30:$R$32,2)))</f>
        <v>Sprig 2</v>
      </c>
      <c r="E515" t="str">
        <f>VLOOKUP(Summary!M525,Summary!$P$42:$Q$43,2)</f>
        <v>86</v>
      </c>
      <c r="F515">
        <f>IF(LEFT(A515,3)="B60",20,IF(LEFT(A515,3)="B12",30,25))+B515*0.5+INT(Summary!M528*20)</f>
        <v>345</v>
      </c>
      <c r="G515">
        <f>ROUND(IF(OR(ISERROR(FIND(Summary!$P$89,CONCATENATE(C515,D515,E515))),ISERROR(FIND(Summary!$Q$89,A515))),Summary!$R$45,IF(H515&gt;Summary!$V$3,Summary!$R$46,Summary!$R$45))*(B515+30),0)</f>
        <v>7</v>
      </c>
      <c r="H515">
        <f>IF(H514&gt;Summary!$V$4,0,H514+F514)</f>
        <v>1425</v>
      </c>
      <c r="I515" s="26">
        <f>DATE(YEAR(Summary!$V$2),MONTH(Summary!$V$2),DAY(Summary!$V$2)+INT(H515/480))</f>
        <v>43592</v>
      </c>
      <c r="J515" s="27">
        <f t="shared" si="8"/>
        <v>0.65625</v>
      </c>
    </row>
    <row r="516" spans="1:10">
      <c r="A516" t="str">
        <f>VLOOKUP(Summary!M515,Summary!$P$13:$Q$24,2)</f>
        <v>B600-plum</v>
      </c>
      <c r="B516">
        <f>ROUND(NORMINV(Summary!M517,VLOOKUP(A516,Summary!$Q$13:$S$24,3,FALSE),VLOOKUP(A516,Summary!$Q$13:$S$24,3,FALSE)/6),-1)</f>
        <v>270</v>
      </c>
      <c r="C516" t="str">
        <f>IF(AND(H516=0,C515=Summary!$P$2),Summary!$Q$2,IF(AND(H516=0,C515=Summary!$Q$2),Summary!$R$2,C515))</f>
        <v>Reed</v>
      </c>
      <c r="D516" t="str">
        <f>IF(C516=Summary!$P$26,VLOOKUP(Summary!M523,Summary!$Q$26:$R$27,2),IF('Run Data'!C516=Summary!$P$28,VLOOKUP(Summary!M523,Summary!$Q$28:$R$29,2),VLOOKUP(Summary!M523,Summary!$Q$30:$R$32,2)))</f>
        <v>Sprig 4</v>
      </c>
      <c r="E516" t="str">
        <f>VLOOKUP(Summary!M526,Summary!$P$42:$Q$43,2)</f>
        <v>86</v>
      </c>
      <c r="F516">
        <f>IF(LEFT(A516,3)="B60",20,IF(LEFT(A516,3)="B12",30,25))+B516*0.5+INT(Summary!M529*20)</f>
        <v>159</v>
      </c>
      <c r="G516">
        <f>ROUND(IF(OR(ISERROR(FIND(Summary!$P$89,CONCATENATE(C516,D516,E516))),ISERROR(FIND(Summary!$Q$89,A516))),Summary!$R$45,IF(H516&gt;Summary!$V$3,Summary!$R$46,Summary!$R$45))*(B516+30),0)</f>
        <v>3</v>
      </c>
      <c r="H516">
        <f>IF(H515&gt;Summary!$V$4,0,H515+F515)</f>
        <v>1770</v>
      </c>
      <c r="I516" s="26">
        <f>DATE(YEAR(Summary!$V$2),MONTH(Summary!$V$2),DAY(Summary!$V$2)+INT(H516/480))</f>
        <v>43593</v>
      </c>
      <c r="J516" s="27">
        <f t="shared" si="8"/>
        <v>0.5625</v>
      </c>
    </row>
    <row r="517" spans="1:10">
      <c r="A517" t="str">
        <f>VLOOKUP(Summary!M516,Summary!$P$13:$Q$24,2)</f>
        <v>B600-sky</v>
      </c>
      <c r="B517">
        <f>ROUND(NORMINV(Summary!M518,VLOOKUP(A517,Summary!$Q$13:$S$24,3,FALSE),VLOOKUP(A517,Summary!$Q$13:$S$24,3,FALSE)/6),-1)</f>
        <v>330</v>
      </c>
      <c r="C517" t="str">
        <f>IF(AND(H517=0,C516=Summary!$P$2),Summary!$Q$2,IF(AND(H517=0,C516=Summary!$Q$2),Summary!$R$2,C516))</f>
        <v>Reed</v>
      </c>
      <c r="D517" t="str">
        <f>IF(C517=Summary!$P$26,VLOOKUP(Summary!M524,Summary!$Q$26:$R$27,2),IF('Run Data'!C517=Summary!$P$28,VLOOKUP(Summary!M524,Summary!$Q$28:$R$29,2),VLOOKUP(Summary!M524,Summary!$Q$30:$R$32,2)))</f>
        <v>Sprig 2</v>
      </c>
      <c r="E517" t="str">
        <f>VLOOKUP(Summary!M527,Summary!$P$42:$Q$43,2)</f>
        <v>86</v>
      </c>
      <c r="F517">
        <f>IF(LEFT(A517,3)="B60",20,IF(LEFT(A517,3)="B12",30,25))+B517*0.5+INT(Summary!M530*20)</f>
        <v>190</v>
      </c>
      <c r="G517">
        <f>ROUND(IF(OR(ISERROR(FIND(Summary!$P$89,CONCATENATE(C517,D517,E517))),ISERROR(FIND(Summary!$Q$89,A517))),Summary!$R$45,IF(H517&gt;Summary!$V$3,Summary!$R$46,Summary!$R$45))*(B517+30),0)</f>
        <v>4</v>
      </c>
      <c r="H517">
        <f>IF(H516&gt;Summary!$V$4,0,H516+F516)</f>
        <v>1929</v>
      </c>
      <c r="I517" s="26">
        <f>DATE(YEAR(Summary!$V$2),MONTH(Summary!$V$2),DAY(Summary!$V$2)+INT(H517/480))</f>
        <v>43594</v>
      </c>
      <c r="J517" s="27">
        <f t="shared" si="8"/>
        <v>0.33958333333333335</v>
      </c>
    </row>
    <row r="518" spans="1:10">
      <c r="A518" t="str">
        <f>VLOOKUP(Summary!M517,Summary!$P$13:$Q$24,2)</f>
        <v>B1700-lime</v>
      </c>
      <c r="B518">
        <f>ROUND(NORMINV(Summary!M519,VLOOKUP(A518,Summary!$Q$13:$S$24,3,FALSE),VLOOKUP(A518,Summary!$Q$13:$S$24,3,FALSE)/6),-1)</f>
        <v>520</v>
      </c>
      <c r="C518" t="str">
        <f>IF(AND(H518=0,C517=Summary!$P$2),Summary!$Q$2,IF(AND(H518=0,C517=Summary!$Q$2),Summary!$R$2,C517))</f>
        <v>Reed</v>
      </c>
      <c r="D518" t="str">
        <f>IF(C518=Summary!$P$26,VLOOKUP(Summary!M525,Summary!$Q$26:$R$27,2),IF('Run Data'!C518=Summary!$P$28,VLOOKUP(Summary!M525,Summary!$Q$28:$R$29,2),VLOOKUP(Summary!M525,Summary!$Q$30:$R$32,2)))</f>
        <v>Sprig 2</v>
      </c>
      <c r="E518" t="str">
        <f>VLOOKUP(Summary!M528,Summary!$P$42:$Q$43,2)</f>
        <v>86</v>
      </c>
      <c r="F518">
        <f>IF(LEFT(A518,3)="B60",20,IF(LEFT(A518,3)="B12",30,25))+B518*0.5+INT(Summary!M531*20)</f>
        <v>301</v>
      </c>
      <c r="G518">
        <f>ROUND(IF(OR(ISERROR(FIND(Summary!$P$89,CONCATENATE(C518,D518,E518))),ISERROR(FIND(Summary!$Q$89,A518))),Summary!$R$45,IF(H518&gt;Summary!$V$3,Summary!$R$46,Summary!$R$45))*(B518+30),0)</f>
        <v>6</v>
      </c>
      <c r="H518">
        <f>IF(H517&gt;Summary!$V$4,0,H517+F517)</f>
        <v>2119</v>
      </c>
      <c r="I518" s="26">
        <f>DATE(YEAR(Summary!$V$2),MONTH(Summary!$V$2),DAY(Summary!$V$2)+INT(H518/480))</f>
        <v>43594</v>
      </c>
      <c r="J518" s="27">
        <f t="shared" si="8"/>
        <v>0.47152777777777777</v>
      </c>
    </row>
    <row r="519" spans="1:10">
      <c r="A519" t="str">
        <f>VLOOKUP(Summary!M518,Summary!$P$13:$Q$24,2)</f>
        <v>B600-plum</v>
      </c>
      <c r="B519">
        <f>ROUND(NORMINV(Summary!M520,VLOOKUP(A519,Summary!$Q$13:$S$24,3,FALSE),VLOOKUP(A519,Summary!$Q$13:$S$24,3,FALSE)/6),-1)</f>
        <v>180</v>
      </c>
      <c r="C519" t="str">
        <f>IF(AND(H519=0,C518=Summary!$P$2),Summary!$Q$2,IF(AND(H519=0,C518=Summary!$Q$2),Summary!$R$2,C518))</f>
        <v>Reed</v>
      </c>
      <c r="D519" t="str">
        <f>IF(C519=Summary!$P$26,VLOOKUP(Summary!M526,Summary!$Q$26:$R$27,2),IF('Run Data'!C519=Summary!$P$28,VLOOKUP(Summary!M526,Summary!$Q$28:$R$29,2),VLOOKUP(Summary!M526,Summary!$Q$30:$R$32,2)))</f>
        <v>Sprig 2</v>
      </c>
      <c r="E519" t="str">
        <f>VLOOKUP(Summary!M529,Summary!$P$42:$Q$43,2)</f>
        <v>86</v>
      </c>
      <c r="F519">
        <f>IF(LEFT(A519,3)="B60",20,IF(LEFT(A519,3)="B12",30,25))+B519*0.5+INT(Summary!M532*20)</f>
        <v>123</v>
      </c>
      <c r="G519">
        <f>ROUND(IF(OR(ISERROR(FIND(Summary!$P$89,CONCATENATE(C519,D519,E519))),ISERROR(FIND(Summary!$Q$89,A519))),Summary!$R$45,IF(H519&gt;Summary!$V$3,Summary!$R$46,Summary!$R$45))*(B519+30),0)</f>
        <v>2</v>
      </c>
      <c r="H519">
        <f>IF(H518&gt;Summary!$V$4,0,H518+F518)</f>
        <v>2420</v>
      </c>
      <c r="I519" s="26">
        <f>DATE(YEAR(Summary!$V$2),MONTH(Summary!$V$2),DAY(Summary!$V$2)+INT(H519/480))</f>
        <v>43595</v>
      </c>
      <c r="J519" s="27">
        <f t="shared" si="8"/>
        <v>0.34722222222222227</v>
      </c>
    </row>
    <row r="520" spans="1:10">
      <c r="A520" t="str">
        <f>VLOOKUP(Summary!M519,Summary!$P$13:$Q$24,2)</f>
        <v>B1700-lime</v>
      </c>
      <c r="B520">
        <f>ROUND(NORMINV(Summary!M521,VLOOKUP(A520,Summary!$Q$13:$S$24,3,FALSE),VLOOKUP(A520,Summary!$Q$13:$S$24,3,FALSE)/6),-1)</f>
        <v>500</v>
      </c>
      <c r="C520" t="str">
        <f>IF(AND(H520=0,C519=Summary!$P$2),Summary!$Q$2,IF(AND(H520=0,C519=Summary!$Q$2),Summary!$R$2,C519))</f>
        <v>Reed</v>
      </c>
      <c r="D520" t="str">
        <f>IF(C520=Summary!$P$26,VLOOKUP(Summary!M527,Summary!$Q$26:$R$27,2),IF('Run Data'!C520=Summary!$P$28,VLOOKUP(Summary!M527,Summary!$Q$28:$R$29,2),VLOOKUP(Summary!M527,Summary!$Q$30:$R$32,2)))</f>
        <v>Sprig 2</v>
      </c>
      <c r="E520" t="str">
        <f>VLOOKUP(Summary!M530,Summary!$P$42:$Q$43,2)</f>
        <v>86</v>
      </c>
      <c r="F520">
        <f>IF(LEFT(A520,3)="B60",20,IF(LEFT(A520,3)="B12",30,25))+B520*0.5+INT(Summary!M533*20)</f>
        <v>280</v>
      </c>
      <c r="G520">
        <f>ROUND(IF(OR(ISERROR(FIND(Summary!$P$89,CONCATENATE(C520,D520,E520))),ISERROR(FIND(Summary!$Q$89,A520))),Summary!$R$45,IF(H520&gt;Summary!$V$3,Summary!$R$46,Summary!$R$45))*(B520+30),0)</f>
        <v>5</v>
      </c>
      <c r="H520">
        <f>IF(H519&gt;Summary!$V$4,0,H519+F519)</f>
        <v>2543</v>
      </c>
      <c r="I520" s="26">
        <f>DATE(YEAR(Summary!$V$2),MONTH(Summary!$V$2),DAY(Summary!$V$2)+INT(H520/480))</f>
        <v>43595</v>
      </c>
      <c r="J520" s="27">
        <f t="shared" si="8"/>
        <v>0.43263888888888885</v>
      </c>
    </row>
    <row r="521" spans="1:10">
      <c r="A521" t="str">
        <f>VLOOKUP(Summary!M520,Summary!$P$13:$Q$24,2)</f>
        <v>B1200-plum</v>
      </c>
      <c r="B521">
        <f>ROUND(NORMINV(Summary!M522,VLOOKUP(A521,Summary!$Q$13:$S$24,3,FALSE),VLOOKUP(A521,Summary!$Q$13:$S$24,3,FALSE)/6),-1)</f>
        <v>410</v>
      </c>
      <c r="C521" t="str">
        <f>IF(AND(H521=0,C520=Summary!$P$2),Summary!$Q$2,IF(AND(H521=0,C520=Summary!$Q$2),Summary!$R$2,C520))</f>
        <v>Reed</v>
      </c>
      <c r="D521" t="str">
        <f>IF(C521=Summary!$P$26,VLOOKUP(Summary!M528,Summary!$Q$26:$R$27,2),IF('Run Data'!C521=Summary!$P$28,VLOOKUP(Summary!M528,Summary!$Q$28:$R$29,2),VLOOKUP(Summary!M528,Summary!$Q$30:$R$32,2)))</f>
        <v>Sprig 2</v>
      </c>
      <c r="E521" t="str">
        <f>VLOOKUP(Summary!M531,Summary!$P$42:$Q$43,2)</f>
        <v>86</v>
      </c>
      <c r="F521">
        <f>IF(LEFT(A521,3)="B60",20,IF(LEFT(A521,3)="B12",30,25))+B521*0.5+INT(Summary!M534*20)</f>
        <v>248</v>
      </c>
      <c r="G521">
        <f>ROUND(IF(OR(ISERROR(FIND(Summary!$P$89,CONCATENATE(C521,D521,E521))),ISERROR(FIND(Summary!$Q$89,A521))),Summary!$R$45,IF(H521&gt;Summary!$V$3,Summary!$R$46,Summary!$R$45))*(B521+30),0)</f>
        <v>4</v>
      </c>
      <c r="H521">
        <f>IF(H520&gt;Summary!$V$4,0,H520+F520)</f>
        <v>2823</v>
      </c>
      <c r="I521" s="26">
        <f>DATE(YEAR(Summary!$V$2),MONTH(Summary!$V$2),DAY(Summary!$V$2)+INT(H521/480))</f>
        <v>43595</v>
      </c>
      <c r="J521" s="27">
        <f t="shared" si="8"/>
        <v>0.62708333333333333</v>
      </c>
    </row>
    <row r="522" spans="1:10">
      <c r="A522" t="str">
        <f>VLOOKUP(Summary!M521,Summary!$P$13:$Q$24,2)</f>
        <v>B1700-lime</v>
      </c>
      <c r="B522">
        <f>ROUND(NORMINV(Summary!M523,VLOOKUP(A522,Summary!$Q$13:$S$24,3,FALSE),VLOOKUP(A522,Summary!$Q$13:$S$24,3,FALSE)/6),-1)</f>
        <v>520</v>
      </c>
      <c r="C522" t="str">
        <f>IF(AND(H522=0,C521=Summary!$P$2),Summary!$Q$2,IF(AND(H522=0,C521=Summary!$Q$2),Summary!$R$2,C521))</f>
        <v>Reed</v>
      </c>
      <c r="D522" t="str">
        <f>IF(C522=Summary!$P$26,VLOOKUP(Summary!M529,Summary!$Q$26:$R$27,2),IF('Run Data'!C522=Summary!$P$28,VLOOKUP(Summary!M529,Summary!$Q$28:$R$29,2),VLOOKUP(Summary!M529,Summary!$Q$30:$R$32,2)))</f>
        <v>Sprig 2</v>
      </c>
      <c r="E522" t="str">
        <f>VLOOKUP(Summary!M532,Summary!$P$42:$Q$43,2)</f>
        <v>86</v>
      </c>
      <c r="F522">
        <f>IF(LEFT(A522,3)="B60",20,IF(LEFT(A522,3)="B12",30,25))+B522*0.5+INT(Summary!M535*20)</f>
        <v>288</v>
      </c>
      <c r="G522">
        <f>ROUND(IF(OR(ISERROR(FIND(Summary!$P$89,CONCATENATE(C522,D522,E522))),ISERROR(FIND(Summary!$Q$89,A522))),Summary!$R$45,IF(H522&gt;Summary!$V$3,Summary!$R$46,Summary!$R$45))*(B522+30),0)</f>
        <v>6</v>
      </c>
      <c r="H522">
        <f>IF(H521&gt;Summary!$V$4,0,H521+F521)</f>
        <v>3071</v>
      </c>
      <c r="I522" s="26">
        <f>DATE(YEAR(Summary!$V$2),MONTH(Summary!$V$2),DAY(Summary!$V$2)+INT(H522/480))</f>
        <v>43596</v>
      </c>
      <c r="J522" s="27">
        <f t="shared" si="8"/>
        <v>0.46597222222222223</v>
      </c>
    </row>
    <row r="523" spans="1:10">
      <c r="A523" t="str">
        <f>VLOOKUP(Summary!M522,Summary!$P$13:$Q$24,2)</f>
        <v>B1200-plum</v>
      </c>
      <c r="B523">
        <f>ROUND(NORMINV(Summary!M524,VLOOKUP(A523,Summary!$Q$13:$S$24,3,FALSE),VLOOKUP(A523,Summary!$Q$13:$S$24,3,FALSE)/6),-1)</f>
        <v>460</v>
      </c>
      <c r="C523" t="str">
        <f>IF(AND(H523=0,C522=Summary!$P$2),Summary!$Q$2,IF(AND(H523=0,C522=Summary!$Q$2),Summary!$R$2,C522))</f>
        <v>Reed</v>
      </c>
      <c r="D523" t="str">
        <f>IF(C523=Summary!$P$26,VLOOKUP(Summary!M530,Summary!$Q$26:$R$27,2),IF('Run Data'!C523=Summary!$P$28,VLOOKUP(Summary!M530,Summary!$Q$28:$R$29,2),VLOOKUP(Summary!M530,Summary!$Q$30:$R$32,2)))</f>
        <v>Sprig 2</v>
      </c>
      <c r="E523" t="str">
        <f>VLOOKUP(Summary!M533,Summary!$P$42:$Q$43,2)</f>
        <v>86</v>
      </c>
      <c r="F523">
        <f>IF(LEFT(A523,3)="B60",20,IF(LEFT(A523,3)="B12",30,25))+B523*0.5+INT(Summary!M536*20)</f>
        <v>270</v>
      </c>
      <c r="G523">
        <f>ROUND(IF(OR(ISERROR(FIND(Summary!$P$89,CONCATENATE(C523,D523,E523))),ISERROR(FIND(Summary!$Q$89,A523))),Summary!$R$45,IF(H523&gt;Summary!$V$3,Summary!$R$46,Summary!$R$45))*(B523+30),0)</f>
        <v>5</v>
      </c>
      <c r="H523">
        <f>IF(H522&gt;Summary!$V$4,0,H522+F522)</f>
        <v>3359</v>
      </c>
      <c r="I523" s="26">
        <f>DATE(YEAR(Summary!$V$2),MONTH(Summary!$V$2),DAY(Summary!$V$2)+INT(H523/480))</f>
        <v>43596</v>
      </c>
      <c r="J523" s="27">
        <f t="shared" si="8"/>
        <v>0.66597222222222219</v>
      </c>
    </row>
    <row r="524" spans="1:10">
      <c r="A524" t="str">
        <f>VLOOKUP(Summary!M523,Summary!$P$13:$Q$24,2)</f>
        <v>B1700-lime</v>
      </c>
      <c r="B524">
        <f>ROUND(NORMINV(Summary!M525,VLOOKUP(A524,Summary!$Q$13:$S$24,3,FALSE),VLOOKUP(A524,Summary!$Q$13:$S$24,3,FALSE)/6),-1)</f>
        <v>390</v>
      </c>
      <c r="C524" t="str">
        <f>IF(AND(H524=0,C523=Summary!$P$2),Summary!$Q$2,IF(AND(H524=0,C523=Summary!$Q$2),Summary!$R$2,C523))</f>
        <v>Reed</v>
      </c>
      <c r="D524" t="str">
        <f>IF(C524=Summary!$P$26,VLOOKUP(Summary!M531,Summary!$Q$26:$R$27,2),IF('Run Data'!C524=Summary!$P$28,VLOOKUP(Summary!M531,Summary!$Q$28:$R$29,2),VLOOKUP(Summary!M531,Summary!$Q$30:$R$32,2)))</f>
        <v>Sprig 4</v>
      </c>
      <c r="E524" t="str">
        <f>VLOOKUP(Summary!M534,Summary!$P$42:$Q$43,2)</f>
        <v>86</v>
      </c>
      <c r="F524">
        <f>IF(LEFT(A524,3)="B60",20,IF(LEFT(A524,3)="B12",30,25))+B524*0.5+INT(Summary!M537*20)</f>
        <v>229</v>
      </c>
      <c r="G524">
        <f>ROUND(IF(OR(ISERROR(FIND(Summary!$P$89,CONCATENATE(C524,D524,E524))),ISERROR(FIND(Summary!$Q$89,A524))),Summary!$R$45,IF(H524&gt;Summary!$V$3,Summary!$R$46,Summary!$R$45))*(B524+30),0)</f>
        <v>4</v>
      </c>
      <c r="H524">
        <f>IF(H523&gt;Summary!$V$4,0,H523+F523)</f>
        <v>3629</v>
      </c>
      <c r="I524" s="26">
        <f>DATE(YEAR(Summary!$V$2),MONTH(Summary!$V$2),DAY(Summary!$V$2)+INT(H524/480))</f>
        <v>43597</v>
      </c>
      <c r="J524" s="27">
        <f t="shared" si="8"/>
        <v>0.52013888888888882</v>
      </c>
    </row>
    <row r="525" spans="1:10">
      <c r="A525" t="str">
        <f>VLOOKUP(Summary!M524,Summary!$P$13:$Q$24,2)</f>
        <v>B1200-lime</v>
      </c>
      <c r="B525">
        <f>ROUND(NORMINV(Summary!M526,VLOOKUP(A525,Summary!$Q$13:$S$24,3,FALSE),VLOOKUP(A525,Summary!$Q$13:$S$24,3,FALSE)/6),-1)</f>
        <v>670</v>
      </c>
      <c r="C525" t="str">
        <f>IF(AND(H525=0,C524=Summary!$P$2),Summary!$Q$2,IF(AND(H525=0,C524=Summary!$Q$2),Summary!$R$2,C524))</f>
        <v>Reed</v>
      </c>
      <c r="D525" t="str">
        <f>IF(C525=Summary!$P$26,VLOOKUP(Summary!M532,Summary!$Q$26:$R$27,2),IF('Run Data'!C525=Summary!$P$28,VLOOKUP(Summary!M532,Summary!$Q$28:$R$29,2),VLOOKUP(Summary!M532,Summary!$Q$30:$R$32,2)))</f>
        <v>Sprig 2</v>
      </c>
      <c r="E525" t="str">
        <f>VLOOKUP(Summary!M535,Summary!$P$42:$Q$43,2)</f>
        <v>86</v>
      </c>
      <c r="F525">
        <f>IF(LEFT(A525,3)="B60",20,IF(LEFT(A525,3)="B12",30,25))+B525*0.5+INT(Summary!M538*20)</f>
        <v>382</v>
      </c>
      <c r="G525">
        <f>ROUND(IF(OR(ISERROR(FIND(Summary!$P$89,CONCATENATE(C525,D525,E525))),ISERROR(FIND(Summary!$Q$89,A525))),Summary!$R$45,IF(H525&gt;Summary!$V$3,Summary!$R$46,Summary!$R$45))*(B525+30),0)</f>
        <v>7</v>
      </c>
      <c r="H525">
        <f>IF(H524&gt;Summary!$V$4,0,H524+F524)</f>
        <v>3858</v>
      </c>
      <c r="I525" s="26">
        <f>DATE(YEAR(Summary!$V$2),MONTH(Summary!$V$2),DAY(Summary!$V$2)+INT(H525/480))</f>
        <v>43598</v>
      </c>
      <c r="J525" s="27">
        <f t="shared" si="8"/>
        <v>0.34583333333333338</v>
      </c>
    </row>
    <row r="526" spans="1:10">
      <c r="A526" t="str">
        <f>VLOOKUP(Summary!M525,Summary!$P$13:$Q$24,2)</f>
        <v>B1200-sky</v>
      </c>
      <c r="B526">
        <f>ROUND(NORMINV(Summary!M527,VLOOKUP(A526,Summary!$Q$13:$S$24,3,FALSE),VLOOKUP(A526,Summary!$Q$13:$S$24,3,FALSE)/6),-1)</f>
        <v>1320</v>
      </c>
      <c r="C526" t="str">
        <f>IF(AND(H526=0,C525=Summary!$P$2),Summary!$Q$2,IF(AND(H526=0,C525=Summary!$Q$2),Summary!$R$2,C525))</f>
        <v>Reed</v>
      </c>
      <c r="D526" t="str">
        <f>IF(C526=Summary!$P$26,VLOOKUP(Summary!M533,Summary!$Q$26:$R$27,2),IF('Run Data'!C526=Summary!$P$28,VLOOKUP(Summary!M533,Summary!$Q$28:$R$29,2),VLOOKUP(Summary!M533,Summary!$Q$30:$R$32,2)))</f>
        <v>Sprig 2</v>
      </c>
      <c r="E526" t="str">
        <f>VLOOKUP(Summary!M536,Summary!$P$42:$Q$43,2)</f>
        <v>86</v>
      </c>
      <c r="F526">
        <f>IF(LEFT(A526,3)="B60",20,IF(LEFT(A526,3)="B12",30,25))+B526*0.5+INT(Summary!M539*20)</f>
        <v>706</v>
      </c>
      <c r="G526">
        <f>ROUND(IF(OR(ISERROR(FIND(Summary!$P$89,CONCATENATE(C526,D526,E526))),ISERROR(FIND(Summary!$Q$89,A526))),Summary!$R$45,IF(H526&gt;Summary!$V$3,Summary!$R$46,Summary!$R$45))*(B526+30),0)</f>
        <v>14</v>
      </c>
      <c r="H526">
        <f>IF(H525&gt;Summary!$V$4,0,H525+F525)</f>
        <v>4240</v>
      </c>
      <c r="I526" s="26">
        <f>DATE(YEAR(Summary!$V$2),MONTH(Summary!$V$2),DAY(Summary!$V$2)+INT(H526/480))</f>
        <v>43598</v>
      </c>
      <c r="J526" s="27">
        <f t="shared" si="8"/>
        <v>0.61111111111111105</v>
      </c>
    </row>
    <row r="527" spans="1:10">
      <c r="A527" t="str">
        <f>VLOOKUP(Summary!M526,Summary!$P$13:$Q$24,2)</f>
        <v>B600-fire</v>
      </c>
      <c r="B527">
        <f>ROUND(NORMINV(Summary!M528,VLOOKUP(A527,Summary!$Q$13:$S$24,3,FALSE),VLOOKUP(A527,Summary!$Q$13:$S$24,3,FALSE)/6),-1)</f>
        <v>250</v>
      </c>
      <c r="C527" t="str">
        <f>IF(AND(H527=0,C526=Summary!$P$2),Summary!$Q$2,IF(AND(H527=0,C526=Summary!$Q$2),Summary!$R$2,C526))</f>
        <v>Reed</v>
      </c>
      <c r="D527" t="str">
        <f>IF(C527=Summary!$P$26,VLOOKUP(Summary!M534,Summary!$Q$26:$R$27,2),IF('Run Data'!C527=Summary!$P$28,VLOOKUP(Summary!M534,Summary!$Q$28:$R$29,2),VLOOKUP(Summary!M534,Summary!$Q$30:$R$32,2)))</f>
        <v>Sprig 2</v>
      </c>
      <c r="E527" t="str">
        <f>VLOOKUP(Summary!M537,Summary!$P$42:$Q$43,2)</f>
        <v>86</v>
      </c>
      <c r="F527">
        <f>IF(LEFT(A527,3)="B60",20,IF(LEFT(A527,3)="B12",30,25))+B527*0.5+INT(Summary!M540*20)</f>
        <v>160</v>
      </c>
      <c r="G527">
        <f>ROUND(IF(OR(ISERROR(FIND(Summary!$P$89,CONCATENATE(C527,D527,E527))),ISERROR(FIND(Summary!$Q$89,A527))),Summary!$R$45,IF(H527&gt;Summary!$V$3,Summary!$R$46,Summary!$R$45))*(B527+30),0)</f>
        <v>3</v>
      </c>
      <c r="H527">
        <f>IF(H526&gt;Summary!$V$4,0,H526+F526)</f>
        <v>4946</v>
      </c>
      <c r="I527" s="26">
        <f>DATE(YEAR(Summary!$V$2),MONTH(Summary!$V$2),DAY(Summary!$V$2)+INT(H527/480))</f>
        <v>43600</v>
      </c>
      <c r="J527" s="27">
        <f t="shared" si="8"/>
        <v>0.43472222222222223</v>
      </c>
    </row>
    <row r="528" spans="1:10">
      <c r="A528" t="str">
        <f>VLOOKUP(Summary!M527,Summary!$P$13:$Q$24,2)</f>
        <v>B1700-plum</v>
      </c>
      <c r="B528">
        <f>ROUND(NORMINV(Summary!M529,VLOOKUP(A528,Summary!$Q$13:$S$24,3,FALSE),VLOOKUP(A528,Summary!$Q$13:$S$24,3,FALSE)/6),-1)</f>
        <v>260</v>
      </c>
      <c r="C528" t="str">
        <f>IF(AND(H528=0,C527=Summary!$P$2),Summary!$Q$2,IF(AND(H528=0,C527=Summary!$Q$2),Summary!$R$2,C527))</f>
        <v>Reed</v>
      </c>
      <c r="D528" t="str">
        <f>IF(C528=Summary!$P$26,VLOOKUP(Summary!M535,Summary!$Q$26:$R$27,2),IF('Run Data'!C528=Summary!$P$28,VLOOKUP(Summary!M535,Summary!$Q$28:$R$29,2),VLOOKUP(Summary!M535,Summary!$Q$30:$R$32,2)))</f>
        <v>Sprig 2</v>
      </c>
      <c r="E528" t="str">
        <f>VLOOKUP(Summary!M538,Summary!$P$42:$Q$43,2)</f>
        <v>87b</v>
      </c>
      <c r="F528">
        <f>IF(LEFT(A528,3)="B60",20,IF(LEFT(A528,3)="B12",30,25))+B528*0.5+INT(Summary!M541*20)</f>
        <v>174</v>
      </c>
      <c r="G528">
        <f>ROUND(IF(OR(ISERROR(FIND(Summary!$P$89,CONCATENATE(C528,D528,E528))),ISERROR(FIND(Summary!$Q$89,A528))),Summary!$R$45,IF(H528&gt;Summary!$V$3,Summary!$R$46,Summary!$R$45))*(B528+30),0)</f>
        <v>3</v>
      </c>
      <c r="H528">
        <f>IF(H527&gt;Summary!$V$4,0,H527+F527)</f>
        <v>5106</v>
      </c>
      <c r="I528" s="26">
        <f>DATE(YEAR(Summary!$V$2),MONTH(Summary!$V$2),DAY(Summary!$V$2)+INT(H528/480))</f>
        <v>43600</v>
      </c>
      <c r="J528" s="27">
        <f t="shared" si="8"/>
        <v>0.54583333333333328</v>
      </c>
    </row>
    <row r="529" spans="1:10">
      <c r="A529" t="str">
        <f>VLOOKUP(Summary!M528,Summary!$P$13:$Q$24,2)</f>
        <v>B600-plum</v>
      </c>
      <c r="B529">
        <f>ROUND(NORMINV(Summary!M530,VLOOKUP(A529,Summary!$Q$13:$S$24,3,FALSE),VLOOKUP(A529,Summary!$Q$13:$S$24,3,FALSE)/6),-1)</f>
        <v>180</v>
      </c>
      <c r="C529" t="str">
        <f>IF(AND(H529=0,C528=Summary!$P$2),Summary!$Q$2,IF(AND(H529=0,C528=Summary!$Q$2),Summary!$R$2,C528))</f>
        <v>Reed</v>
      </c>
      <c r="D529" t="str">
        <f>IF(C529=Summary!$P$26,VLOOKUP(Summary!M536,Summary!$Q$26:$R$27,2),IF('Run Data'!C529=Summary!$P$28,VLOOKUP(Summary!M536,Summary!$Q$28:$R$29,2),VLOOKUP(Summary!M536,Summary!$Q$30:$R$32,2)))</f>
        <v>Sprig 2</v>
      </c>
      <c r="E529" t="str">
        <f>VLOOKUP(Summary!M539,Summary!$P$42:$Q$43,2)</f>
        <v>86</v>
      </c>
      <c r="F529">
        <f>IF(LEFT(A529,3)="B60",20,IF(LEFT(A529,3)="B12",30,25))+B529*0.5+INT(Summary!M542*20)</f>
        <v>121</v>
      </c>
      <c r="G529">
        <f>ROUND(IF(OR(ISERROR(FIND(Summary!$P$89,CONCATENATE(C529,D529,E529))),ISERROR(FIND(Summary!$Q$89,A529))),Summary!$R$45,IF(H529&gt;Summary!$V$3,Summary!$R$46,Summary!$R$45))*(B529+30),0)</f>
        <v>2</v>
      </c>
      <c r="H529">
        <f>IF(H528&gt;Summary!$V$4,0,H528+F528)</f>
        <v>5280</v>
      </c>
      <c r="I529" s="26">
        <f>DATE(YEAR(Summary!$V$2),MONTH(Summary!$V$2),DAY(Summary!$V$2)+INT(H529/480))</f>
        <v>43601</v>
      </c>
      <c r="J529" s="27">
        <f t="shared" ref="J529:J592" si="9">TIME(INT(MOD(H529,480)/60)+8,MOD(MOD(H529,480),60),0)</f>
        <v>0.33333333333333331</v>
      </c>
    </row>
    <row r="530" spans="1:10">
      <c r="A530" t="str">
        <f>VLOOKUP(Summary!M529,Summary!$P$13:$Q$24,2)</f>
        <v>B600-lime</v>
      </c>
      <c r="B530">
        <f>ROUND(NORMINV(Summary!M531,VLOOKUP(A530,Summary!$Q$13:$S$24,3,FALSE),VLOOKUP(A530,Summary!$Q$13:$S$24,3,FALSE)/6),-1)</f>
        <v>350</v>
      </c>
      <c r="C530" t="str">
        <f>IF(AND(H530=0,C529=Summary!$P$2),Summary!$Q$2,IF(AND(H530=0,C529=Summary!$Q$2),Summary!$R$2,C529))</f>
        <v>Reed</v>
      </c>
      <c r="D530" t="str">
        <f>IF(C530=Summary!$P$26,VLOOKUP(Summary!M537,Summary!$Q$26:$R$27,2),IF('Run Data'!C530=Summary!$P$28,VLOOKUP(Summary!M537,Summary!$Q$28:$R$29,2),VLOOKUP(Summary!M537,Summary!$Q$30:$R$32,2)))</f>
        <v>Sprig 2</v>
      </c>
      <c r="E530" t="str">
        <f>VLOOKUP(Summary!M540,Summary!$P$42:$Q$43,2)</f>
        <v>86</v>
      </c>
      <c r="F530">
        <f>IF(LEFT(A530,3)="B60",20,IF(LEFT(A530,3)="B12",30,25))+B530*0.5+INT(Summary!M543*20)</f>
        <v>203</v>
      </c>
      <c r="G530">
        <f>ROUND(IF(OR(ISERROR(FIND(Summary!$P$89,CONCATENATE(C530,D530,E530))),ISERROR(FIND(Summary!$Q$89,A530))),Summary!$R$45,IF(H530&gt;Summary!$V$3,Summary!$R$46,Summary!$R$45))*(B530+30),0)</f>
        <v>4</v>
      </c>
      <c r="H530">
        <f>IF(H529&gt;Summary!$V$4,0,H529+F529)</f>
        <v>5401</v>
      </c>
      <c r="I530" s="26">
        <f>DATE(YEAR(Summary!$V$2),MONTH(Summary!$V$2),DAY(Summary!$V$2)+INT(H530/480))</f>
        <v>43601</v>
      </c>
      <c r="J530" s="27">
        <f t="shared" si="9"/>
        <v>0.41736111111111113</v>
      </c>
    </row>
    <row r="531" spans="1:10">
      <c r="A531" t="str">
        <f>VLOOKUP(Summary!M530,Summary!$P$13:$Q$24,2)</f>
        <v>B1200-plum</v>
      </c>
      <c r="B531">
        <f>ROUND(NORMINV(Summary!M532,VLOOKUP(A531,Summary!$Q$13:$S$24,3,FALSE),VLOOKUP(A531,Summary!$Q$13:$S$24,3,FALSE)/6),-1)</f>
        <v>490</v>
      </c>
      <c r="C531" t="str">
        <f>IF(AND(H531=0,C530=Summary!$P$2),Summary!$Q$2,IF(AND(H531=0,C530=Summary!$Q$2),Summary!$R$2,C530))</f>
        <v>Reed</v>
      </c>
      <c r="D531" t="str">
        <f>IF(C531=Summary!$P$26,VLOOKUP(Summary!M538,Summary!$Q$26:$R$27,2),IF('Run Data'!C531=Summary!$P$28,VLOOKUP(Summary!M538,Summary!$Q$28:$R$29,2),VLOOKUP(Summary!M538,Summary!$Q$30:$R$32,2)))</f>
        <v>Sprig 4</v>
      </c>
      <c r="E531" t="str">
        <f>VLOOKUP(Summary!M541,Summary!$P$42:$Q$43,2)</f>
        <v>87b</v>
      </c>
      <c r="F531">
        <f>IF(LEFT(A531,3)="B60",20,IF(LEFT(A531,3)="B12",30,25))+B531*0.5+INT(Summary!M544*20)</f>
        <v>289</v>
      </c>
      <c r="G531">
        <f>ROUND(IF(OR(ISERROR(FIND(Summary!$P$89,CONCATENATE(C531,D531,E531))),ISERROR(FIND(Summary!$Q$89,A531))),Summary!$R$45,IF(H531&gt;Summary!$V$3,Summary!$R$46,Summary!$R$45))*(B531+30),0)</f>
        <v>5</v>
      </c>
      <c r="H531">
        <f>IF(H530&gt;Summary!$V$4,0,H530+F530)</f>
        <v>5604</v>
      </c>
      <c r="I531" s="26">
        <f>DATE(YEAR(Summary!$V$2),MONTH(Summary!$V$2),DAY(Summary!$V$2)+INT(H531/480))</f>
        <v>43601</v>
      </c>
      <c r="J531" s="27">
        <f t="shared" si="9"/>
        <v>0.55833333333333335</v>
      </c>
    </row>
    <row r="532" spans="1:10">
      <c r="A532" t="str">
        <f>VLOOKUP(Summary!M531,Summary!$P$13:$Q$24,2)</f>
        <v>B1700-sky</v>
      </c>
      <c r="B532">
        <f>ROUND(NORMINV(Summary!M533,VLOOKUP(A532,Summary!$Q$13:$S$24,3,FALSE),VLOOKUP(A532,Summary!$Q$13:$S$24,3,FALSE)/6),-1)</f>
        <v>500</v>
      </c>
      <c r="C532" t="str">
        <f>IF(AND(H532=0,C531=Summary!$P$2),Summary!$Q$2,IF(AND(H532=0,C531=Summary!$Q$2),Summary!$R$2,C531))</f>
        <v>Reed</v>
      </c>
      <c r="D532" t="str">
        <f>IF(C532=Summary!$P$26,VLOOKUP(Summary!M539,Summary!$Q$26:$R$27,2),IF('Run Data'!C532=Summary!$P$28,VLOOKUP(Summary!M539,Summary!$Q$28:$R$29,2),VLOOKUP(Summary!M539,Summary!$Q$30:$R$32,2)))</f>
        <v>Sprig 4</v>
      </c>
      <c r="E532" t="str">
        <f>VLOOKUP(Summary!M542,Summary!$P$42:$Q$43,2)</f>
        <v>86</v>
      </c>
      <c r="F532">
        <f>IF(LEFT(A532,3)="B60",20,IF(LEFT(A532,3)="B12",30,25))+B532*0.5+INT(Summary!M545*20)</f>
        <v>284</v>
      </c>
      <c r="G532">
        <f>ROUND(IF(OR(ISERROR(FIND(Summary!$P$89,CONCATENATE(C532,D532,E532))),ISERROR(FIND(Summary!$Q$89,A532))),Summary!$R$45,IF(H532&gt;Summary!$V$3,Summary!$R$46,Summary!$R$45))*(B532+30),0)</f>
        <v>5</v>
      </c>
      <c r="H532">
        <f>IF(H531&gt;Summary!$V$4,0,H531+F531)</f>
        <v>5893</v>
      </c>
      <c r="I532" s="26">
        <f>DATE(YEAR(Summary!$V$2),MONTH(Summary!$V$2),DAY(Summary!$V$2)+INT(H532/480))</f>
        <v>43602</v>
      </c>
      <c r="J532" s="27">
        <f t="shared" si="9"/>
        <v>0.42569444444444443</v>
      </c>
    </row>
    <row r="533" spans="1:10">
      <c r="A533" t="str">
        <f>VLOOKUP(Summary!M532,Summary!$P$13:$Q$24,2)</f>
        <v>B1200-lime</v>
      </c>
      <c r="B533">
        <f>ROUND(NORMINV(Summary!M534,VLOOKUP(A533,Summary!$Q$13:$S$24,3,FALSE),VLOOKUP(A533,Summary!$Q$13:$S$24,3,FALSE)/6),-1)</f>
        <v>850</v>
      </c>
      <c r="C533" t="str">
        <f>IF(AND(H533=0,C532=Summary!$P$2),Summary!$Q$2,IF(AND(H533=0,C532=Summary!$Q$2),Summary!$R$2,C532))</f>
        <v>Reed</v>
      </c>
      <c r="D533" t="str">
        <f>IF(C533=Summary!$P$26,VLOOKUP(Summary!M540,Summary!$Q$26:$R$27,2),IF('Run Data'!C533=Summary!$P$28,VLOOKUP(Summary!M540,Summary!$Q$28:$R$29,2),VLOOKUP(Summary!M540,Summary!$Q$30:$R$32,2)))</f>
        <v>Sprig 2</v>
      </c>
      <c r="E533" t="str">
        <f>VLOOKUP(Summary!M543,Summary!$P$42:$Q$43,2)</f>
        <v>86</v>
      </c>
      <c r="F533">
        <f>IF(LEFT(A533,3)="B60",20,IF(LEFT(A533,3)="B12",30,25))+B533*0.5+INT(Summary!M546*20)</f>
        <v>458</v>
      </c>
      <c r="G533">
        <f>ROUND(IF(OR(ISERROR(FIND(Summary!$P$89,CONCATENATE(C533,D533,E533))),ISERROR(FIND(Summary!$Q$89,A533))),Summary!$R$45,IF(H533&gt;Summary!$V$3,Summary!$R$46,Summary!$R$45))*(B533+30),0)</f>
        <v>9</v>
      </c>
      <c r="H533">
        <f>IF(H532&gt;Summary!$V$4,0,H532+F532)</f>
        <v>6177</v>
      </c>
      <c r="I533" s="26">
        <f>DATE(YEAR(Summary!$V$2),MONTH(Summary!$V$2),DAY(Summary!$V$2)+INT(H533/480))</f>
        <v>43602</v>
      </c>
      <c r="J533" s="27">
        <f t="shared" si="9"/>
        <v>0.62291666666666667</v>
      </c>
    </row>
    <row r="534" spans="1:10">
      <c r="A534" t="str">
        <f>VLOOKUP(Summary!M533,Summary!$P$13:$Q$24,2)</f>
        <v>B1200-plum</v>
      </c>
      <c r="B534">
        <f>ROUND(NORMINV(Summary!M535,VLOOKUP(A534,Summary!$Q$13:$S$24,3,FALSE),VLOOKUP(A534,Summary!$Q$13:$S$24,3,FALSE)/6),-1)</f>
        <v>380</v>
      </c>
      <c r="C534" t="str">
        <f>IF(AND(H534=0,C533=Summary!$P$2),Summary!$Q$2,IF(AND(H534=0,C533=Summary!$Q$2),Summary!$R$2,C533))</f>
        <v>Reed</v>
      </c>
      <c r="D534" t="str">
        <f>IF(C534=Summary!$P$26,VLOOKUP(Summary!M541,Summary!$Q$26:$R$27,2),IF('Run Data'!C534=Summary!$P$28,VLOOKUP(Summary!M541,Summary!$Q$28:$R$29,2),VLOOKUP(Summary!M541,Summary!$Q$30:$R$32,2)))</f>
        <v>Sprig 4</v>
      </c>
      <c r="E534" t="str">
        <f>VLOOKUP(Summary!M544,Summary!$P$42:$Q$43,2)</f>
        <v>86</v>
      </c>
      <c r="F534">
        <f>IF(LEFT(A534,3)="B60",20,IF(LEFT(A534,3)="B12",30,25))+B534*0.5+INT(Summary!M547*20)</f>
        <v>222</v>
      </c>
      <c r="G534">
        <f>ROUND(IF(OR(ISERROR(FIND(Summary!$P$89,CONCATENATE(C534,D534,E534))),ISERROR(FIND(Summary!$Q$89,A534))),Summary!$R$45,IF(H534&gt;Summary!$V$3,Summary!$R$46,Summary!$R$45))*(B534+30),0)</f>
        <v>4</v>
      </c>
      <c r="H534">
        <f>IF(H533&gt;Summary!$V$4,0,H533+F533)</f>
        <v>6635</v>
      </c>
      <c r="I534" s="26">
        <f>DATE(YEAR(Summary!$V$2),MONTH(Summary!$V$2),DAY(Summary!$V$2)+INT(H534/480))</f>
        <v>43603</v>
      </c>
      <c r="J534" s="27">
        <f t="shared" si="9"/>
        <v>0.60763888888888895</v>
      </c>
    </row>
    <row r="535" spans="1:10">
      <c r="A535" t="str">
        <f>VLOOKUP(Summary!M534,Summary!$P$13:$Q$24,2)</f>
        <v>B1200-lime</v>
      </c>
      <c r="B535">
        <f>ROUND(NORMINV(Summary!M536,VLOOKUP(A535,Summary!$Q$13:$S$24,3,FALSE),VLOOKUP(A535,Summary!$Q$13:$S$24,3,FALSE)/6),-1)</f>
        <v>800</v>
      </c>
      <c r="C535" t="str">
        <f>IF(AND(H535=0,C534=Summary!$P$2),Summary!$Q$2,IF(AND(H535=0,C534=Summary!$Q$2),Summary!$R$2,C534))</f>
        <v>Reed</v>
      </c>
      <c r="D535" t="str">
        <f>IF(C535=Summary!$P$26,VLOOKUP(Summary!M542,Summary!$Q$26:$R$27,2),IF('Run Data'!C535=Summary!$P$28,VLOOKUP(Summary!M542,Summary!$Q$28:$R$29,2),VLOOKUP(Summary!M542,Summary!$Q$30:$R$32,2)))</f>
        <v>Sprig 2</v>
      </c>
      <c r="E535" t="str">
        <f>VLOOKUP(Summary!M545,Summary!$P$42:$Q$43,2)</f>
        <v>86</v>
      </c>
      <c r="F535">
        <f>IF(LEFT(A535,3)="B60",20,IF(LEFT(A535,3)="B12",30,25))+B535*0.5+INT(Summary!M548*20)</f>
        <v>441</v>
      </c>
      <c r="G535">
        <f>ROUND(IF(OR(ISERROR(FIND(Summary!$P$89,CONCATENATE(C535,D535,E535))),ISERROR(FIND(Summary!$Q$89,A535))),Summary!$R$45,IF(H535&gt;Summary!$V$3,Summary!$R$46,Summary!$R$45))*(B535+30),0)</f>
        <v>8</v>
      </c>
      <c r="H535">
        <f>IF(H534&gt;Summary!$V$4,0,H534+F534)</f>
        <v>6857</v>
      </c>
      <c r="I535" s="26">
        <f>DATE(YEAR(Summary!$V$2),MONTH(Summary!$V$2),DAY(Summary!$V$2)+INT(H535/480))</f>
        <v>43604</v>
      </c>
      <c r="J535" s="27">
        <f t="shared" si="9"/>
        <v>0.4284722222222222</v>
      </c>
    </row>
    <row r="536" spans="1:10">
      <c r="A536" t="str">
        <f>VLOOKUP(Summary!M535,Summary!$P$13:$Q$24,2)</f>
        <v>B600-lime</v>
      </c>
      <c r="B536">
        <f>ROUND(NORMINV(Summary!M537,VLOOKUP(A536,Summary!$Q$13:$S$24,3,FALSE),VLOOKUP(A536,Summary!$Q$13:$S$24,3,FALSE)/6),-1)</f>
        <v>300</v>
      </c>
      <c r="C536" t="str">
        <f>IF(AND(H536=0,C535=Summary!$P$2),Summary!$Q$2,IF(AND(H536=0,C535=Summary!$Q$2),Summary!$R$2,C535))</f>
        <v>Reed</v>
      </c>
      <c r="D536" t="str">
        <f>IF(C536=Summary!$P$26,VLOOKUP(Summary!M543,Summary!$Q$26:$R$27,2),IF('Run Data'!C536=Summary!$P$28,VLOOKUP(Summary!M543,Summary!$Q$28:$R$29,2),VLOOKUP(Summary!M543,Summary!$Q$30:$R$32,2)))</f>
        <v>Sprig 2</v>
      </c>
      <c r="E536" t="str">
        <f>VLOOKUP(Summary!M546,Summary!$P$42:$Q$43,2)</f>
        <v>86</v>
      </c>
      <c r="F536">
        <f>IF(LEFT(A536,3)="B60",20,IF(LEFT(A536,3)="B12",30,25))+B536*0.5+INT(Summary!M549*20)</f>
        <v>172</v>
      </c>
      <c r="G536">
        <f>ROUND(IF(OR(ISERROR(FIND(Summary!$P$89,CONCATENATE(C536,D536,E536))),ISERROR(FIND(Summary!$Q$89,A536))),Summary!$R$45,IF(H536&gt;Summary!$V$3,Summary!$R$46,Summary!$R$45))*(B536+30),0)</f>
        <v>3</v>
      </c>
      <c r="H536">
        <f>IF(H535&gt;Summary!$V$4,0,H535+F535)</f>
        <v>7298</v>
      </c>
      <c r="I536" s="26">
        <f>DATE(YEAR(Summary!$V$2),MONTH(Summary!$V$2),DAY(Summary!$V$2)+INT(H536/480))</f>
        <v>43605</v>
      </c>
      <c r="J536" s="27">
        <f t="shared" si="9"/>
        <v>0.40138888888888885</v>
      </c>
    </row>
    <row r="537" spans="1:10">
      <c r="A537" t="str">
        <f>VLOOKUP(Summary!M536,Summary!$P$13:$Q$24,2)</f>
        <v>B1200-fire</v>
      </c>
      <c r="B537">
        <f>ROUND(NORMINV(Summary!M538,VLOOKUP(A537,Summary!$Q$13:$S$24,3,FALSE),VLOOKUP(A537,Summary!$Q$13:$S$24,3,FALSE)/6),-1)</f>
        <v>1440</v>
      </c>
      <c r="C537" t="str">
        <f>IF(AND(H537=0,C536=Summary!$P$2),Summary!$Q$2,IF(AND(H537=0,C536=Summary!$Q$2),Summary!$R$2,C536))</f>
        <v>Reed</v>
      </c>
      <c r="D537" t="str">
        <f>IF(C537=Summary!$P$26,VLOOKUP(Summary!M544,Summary!$Q$26:$R$27,2),IF('Run Data'!C537=Summary!$P$28,VLOOKUP(Summary!M544,Summary!$Q$28:$R$29,2),VLOOKUP(Summary!M544,Summary!$Q$30:$R$32,2)))</f>
        <v>Sprig 2</v>
      </c>
      <c r="E537" t="str">
        <f>VLOOKUP(Summary!M547,Summary!$P$42:$Q$43,2)</f>
        <v>86</v>
      </c>
      <c r="F537">
        <f>IF(LEFT(A537,3)="B60",20,IF(LEFT(A537,3)="B12",30,25))+B537*0.5+INT(Summary!M550*20)</f>
        <v>752</v>
      </c>
      <c r="G537">
        <f>ROUND(IF(OR(ISERROR(FIND(Summary!$P$89,CONCATENATE(C537,D537,E537))),ISERROR(FIND(Summary!$Q$89,A537))),Summary!$R$45,IF(H537&gt;Summary!$V$3,Summary!$R$46,Summary!$R$45))*(B537+30),0)</f>
        <v>15</v>
      </c>
      <c r="H537">
        <f>IF(H536&gt;Summary!$V$4,0,H536+F536)</f>
        <v>7470</v>
      </c>
      <c r="I537" s="26">
        <f>DATE(YEAR(Summary!$V$2),MONTH(Summary!$V$2),DAY(Summary!$V$2)+INT(H537/480))</f>
        <v>43605</v>
      </c>
      <c r="J537" s="27">
        <f t="shared" si="9"/>
        <v>0.52083333333333337</v>
      </c>
    </row>
    <row r="538" spans="1:10">
      <c r="A538" t="str">
        <f>VLOOKUP(Summary!M537,Summary!$P$13:$Q$24,2)</f>
        <v>B1200-fire</v>
      </c>
      <c r="B538">
        <f>ROUND(NORMINV(Summary!M539,VLOOKUP(A538,Summary!$Q$13:$S$24,3,FALSE),VLOOKUP(A538,Summary!$Q$13:$S$24,3,FALSE)/6),-1)</f>
        <v>1400</v>
      </c>
      <c r="C538" t="str">
        <f>IF(AND(H538=0,C537=Summary!$P$2),Summary!$Q$2,IF(AND(H538=0,C537=Summary!$Q$2),Summary!$R$2,C537))</f>
        <v>Reed</v>
      </c>
      <c r="D538" t="str">
        <f>IF(C538=Summary!$P$26,VLOOKUP(Summary!M545,Summary!$Q$26:$R$27,2),IF('Run Data'!C538=Summary!$P$28,VLOOKUP(Summary!M545,Summary!$Q$28:$R$29,2),VLOOKUP(Summary!M545,Summary!$Q$30:$R$32,2)))</f>
        <v>Sprig 2</v>
      </c>
      <c r="E538" t="str">
        <f>VLOOKUP(Summary!M548,Summary!$P$42:$Q$43,2)</f>
        <v>86</v>
      </c>
      <c r="F538">
        <f>IF(LEFT(A538,3)="B60",20,IF(LEFT(A538,3)="B12",30,25))+B538*0.5+INT(Summary!M551*20)</f>
        <v>734</v>
      </c>
      <c r="G538">
        <f>ROUND(IF(OR(ISERROR(FIND(Summary!$P$89,CONCATENATE(C538,D538,E538))),ISERROR(FIND(Summary!$Q$89,A538))),Summary!$R$45,IF(H538&gt;Summary!$V$3,Summary!$R$46,Summary!$R$45))*(B538+30),0)</f>
        <v>14</v>
      </c>
      <c r="H538">
        <f>IF(H537&gt;Summary!$V$4,0,H537+F537)</f>
        <v>8222</v>
      </c>
      <c r="I538" s="26">
        <f>DATE(YEAR(Summary!$V$2),MONTH(Summary!$V$2),DAY(Summary!$V$2)+INT(H538/480))</f>
        <v>43607</v>
      </c>
      <c r="J538" s="27">
        <f t="shared" si="9"/>
        <v>0.37638888888888888</v>
      </c>
    </row>
    <row r="539" spans="1:10">
      <c r="A539" t="str">
        <f>VLOOKUP(Summary!M538,Summary!$P$13:$Q$24,2)</f>
        <v>B1700-fire</v>
      </c>
      <c r="B539">
        <f>ROUND(NORMINV(Summary!M540,VLOOKUP(A539,Summary!$Q$13:$S$24,3,FALSE),VLOOKUP(A539,Summary!$Q$13:$S$24,3,FALSE)/6),-1)</f>
        <v>850</v>
      </c>
      <c r="C539" t="str">
        <f>IF(AND(H539=0,C538=Summary!$P$2),Summary!$Q$2,IF(AND(H539=0,C538=Summary!$Q$2),Summary!$R$2,C538))</f>
        <v>Reed</v>
      </c>
      <c r="D539" t="str">
        <f>IF(C539=Summary!$P$26,VLOOKUP(Summary!M546,Summary!$Q$26:$R$27,2),IF('Run Data'!C539=Summary!$P$28,VLOOKUP(Summary!M546,Summary!$Q$28:$R$29,2),VLOOKUP(Summary!M546,Summary!$Q$30:$R$32,2)))</f>
        <v>Sprig 2</v>
      </c>
      <c r="E539" t="str">
        <f>VLOOKUP(Summary!M549,Summary!$P$42:$Q$43,2)</f>
        <v>86</v>
      </c>
      <c r="F539">
        <f>IF(LEFT(A539,3)="B60",20,IF(LEFT(A539,3)="B12",30,25))+B539*0.5+INT(Summary!M552*20)</f>
        <v>459</v>
      </c>
      <c r="G539">
        <f>ROUND(IF(OR(ISERROR(FIND(Summary!$P$89,CONCATENATE(C539,D539,E539))),ISERROR(FIND(Summary!$Q$89,A539))),Summary!$R$45,IF(H539&gt;Summary!$V$3,Summary!$R$46,Summary!$R$45))*(B539+30),0)</f>
        <v>9</v>
      </c>
      <c r="H539">
        <f>IF(H538&gt;Summary!$V$4,0,H538+F538)</f>
        <v>8956</v>
      </c>
      <c r="I539" s="26">
        <f>DATE(YEAR(Summary!$V$2),MONTH(Summary!$V$2),DAY(Summary!$V$2)+INT(H539/480))</f>
        <v>43608</v>
      </c>
      <c r="J539" s="27">
        <f t="shared" si="9"/>
        <v>0.55277777777777781</v>
      </c>
    </row>
    <row r="540" spans="1:10">
      <c r="A540" t="str">
        <f>VLOOKUP(Summary!M539,Summary!$P$13:$Q$24,2)</f>
        <v>B1700-sky</v>
      </c>
      <c r="B540">
        <f>ROUND(NORMINV(Summary!M541,VLOOKUP(A540,Summary!$Q$13:$S$24,3,FALSE),VLOOKUP(A540,Summary!$Q$13:$S$24,3,FALSE)/6),-1)</f>
        <v>780</v>
      </c>
      <c r="C540" t="str">
        <f>IF(AND(H540=0,C539=Summary!$P$2),Summary!$Q$2,IF(AND(H540=0,C539=Summary!$Q$2),Summary!$R$2,C539))</f>
        <v>Reed</v>
      </c>
      <c r="D540" t="str">
        <f>IF(C540=Summary!$P$26,VLOOKUP(Summary!M547,Summary!$Q$26:$R$27,2),IF('Run Data'!C540=Summary!$P$28,VLOOKUP(Summary!M547,Summary!$Q$28:$R$29,2),VLOOKUP(Summary!M547,Summary!$Q$30:$R$32,2)))</f>
        <v>Sprig 2</v>
      </c>
      <c r="E540" t="str">
        <f>VLOOKUP(Summary!M550,Summary!$P$42:$Q$43,2)</f>
        <v>86</v>
      </c>
      <c r="F540">
        <f>IF(LEFT(A540,3)="B60",20,IF(LEFT(A540,3)="B12",30,25))+B540*0.5+INT(Summary!M553*20)</f>
        <v>424</v>
      </c>
      <c r="G540">
        <f>ROUND(IF(OR(ISERROR(FIND(Summary!$P$89,CONCATENATE(C540,D540,E540))),ISERROR(FIND(Summary!$Q$89,A540))),Summary!$R$45,IF(H540&gt;Summary!$V$3,Summary!$R$46,Summary!$R$45))*(B540+30),0)</f>
        <v>8</v>
      </c>
      <c r="H540">
        <f>IF(H539&gt;Summary!$V$4,0,H539+F539)</f>
        <v>9415</v>
      </c>
      <c r="I540" s="26">
        <f>DATE(YEAR(Summary!$V$2),MONTH(Summary!$V$2),DAY(Summary!$V$2)+INT(H540/480))</f>
        <v>43609</v>
      </c>
      <c r="J540" s="27">
        <f t="shared" si="9"/>
        <v>0.53819444444444442</v>
      </c>
    </row>
    <row r="541" spans="1:10">
      <c r="A541" t="str">
        <f>VLOOKUP(Summary!M540,Summary!$P$13:$Q$24,2)</f>
        <v>B1700-sky</v>
      </c>
      <c r="B541">
        <f>ROUND(NORMINV(Summary!M542,VLOOKUP(A541,Summary!$Q$13:$S$24,3,FALSE),VLOOKUP(A541,Summary!$Q$13:$S$24,3,FALSE)/6),-1)</f>
        <v>570</v>
      </c>
      <c r="C541" t="str">
        <f>IF(AND(H541=0,C540=Summary!$P$2),Summary!$Q$2,IF(AND(H541=0,C540=Summary!$Q$2),Summary!$R$2,C540))</f>
        <v>Reed</v>
      </c>
      <c r="D541" t="str">
        <f>IF(C541=Summary!$P$26,VLOOKUP(Summary!M548,Summary!$Q$26:$R$27,2),IF('Run Data'!C541=Summary!$P$28,VLOOKUP(Summary!M548,Summary!$Q$28:$R$29,2),VLOOKUP(Summary!M548,Summary!$Q$30:$R$32,2)))</f>
        <v>Sprig 2</v>
      </c>
      <c r="E541" t="str">
        <f>VLOOKUP(Summary!M551,Summary!$P$42:$Q$43,2)</f>
        <v>86</v>
      </c>
      <c r="F541">
        <f>IF(LEFT(A541,3)="B60",20,IF(LEFT(A541,3)="B12",30,25))+B541*0.5+INT(Summary!M554*20)</f>
        <v>328</v>
      </c>
      <c r="G541">
        <f>ROUND(IF(OR(ISERROR(FIND(Summary!$P$89,CONCATENATE(C541,D541,E541))),ISERROR(FIND(Summary!$Q$89,A541))),Summary!$R$45,IF(H541&gt;Summary!$V$3,Summary!$R$46,Summary!$R$45))*(B541+30),0)</f>
        <v>6</v>
      </c>
      <c r="H541">
        <f>IF(H540&gt;Summary!$V$4,0,H540+F540)</f>
        <v>9839</v>
      </c>
      <c r="I541" s="26">
        <f>DATE(YEAR(Summary!$V$2),MONTH(Summary!$V$2),DAY(Summary!$V$2)+INT(H541/480))</f>
        <v>43610</v>
      </c>
      <c r="J541" s="27">
        <f t="shared" si="9"/>
        <v>0.4993055555555555</v>
      </c>
    </row>
    <row r="542" spans="1:10">
      <c r="A542" t="str">
        <f>VLOOKUP(Summary!M541,Summary!$P$13:$Q$24,2)</f>
        <v>B1700-lime</v>
      </c>
      <c r="B542">
        <f>ROUND(NORMINV(Summary!M543,VLOOKUP(A542,Summary!$Q$13:$S$24,3,FALSE),VLOOKUP(A542,Summary!$Q$13:$S$24,3,FALSE)/6),-1)</f>
        <v>380</v>
      </c>
      <c r="C542" t="str">
        <f>IF(AND(H542=0,C541=Summary!$P$2),Summary!$Q$2,IF(AND(H542=0,C541=Summary!$Q$2),Summary!$R$2,C541))</f>
        <v>Reed</v>
      </c>
      <c r="D542" t="str">
        <f>IF(C542=Summary!$P$26,VLOOKUP(Summary!M549,Summary!$Q$26:$R$27,2),IF('Run Data'!C542=Summary!$P$28,VLOOKUP(Summary!M549,Summary!$Q$28:$R$29,2),VLOOKUP(Summary!M549,Summary!$Q$30:$R$32,2)))</f>
        <v>Sprig 2</v>
      </c>
      <c r="E542" t="str">
        <f>VLOOKUP(Summary!M552,Summary!$P$42:$Q$43,2)</f>
        <v>86</v>
      </c>
      <c r="F542">
        <f>IF(LEFT(A542,3)="B60",20,IF(LEFT(A542,3)="B12",30,25))+B542*0.5+INT(Summary!M555*20)</f>
        <v>234</v>
      </c>
      <c r="G542">
        <f>ROUND(IF(OR(ISERROR(FIND(Summary!$P$89,CONCATENATE(C542,D542,E542))),ISERROR(FIND(Summary!$Q$89,A542))),Summary!$R$45,IF(H542&gt;Summary!$V$3,Summary!$R$46,Summary!$R$45))*(B542+30),0)</f>
        <v>4</v>
      </c>
      <c r="H542">
        <f>IF(H541&gt;Summary!$V$4,0,H541+F541)</f>
        <v>10167</v>
      </c>
      <c r="I542" s="26">
        <f>DATE(YEAR(Summary!$V$2),MONTH(Summary!$V$2),DAY(Summary!$V$2)+INT(H542/480))</f>
        <v>43611</v>
      </c>
      <c r="J542" s="27">
        <f t="shared" si="9"/>
        <v>0.39374999999999999</v>
      </c>
    </row>
    <row r="543" spans="1:10">
      <c r="A543" t="str">
        <f>VLOOKUP(Summary!M542,Summary!$P$13:$Q$24,2)</f>
        <v>B1200-lime</v>
      </c>
      <c r="B543">
        <f>ROUND(NORMINV(Summary!M544,VLOOKUP(A543,Summary!$Q$13:$S$24,3,FALSE),VLOOKUP(A543,Summary!$Q$13:$S$24,3,FALSE)/6),-1)</f>
        <v>880</v>
      </c>
      <c r="C543" t="str">
        <f>IF(AND(H543=0,C542=Summary!$P$2),Summary!$Q$2,IF(AND(H543=0,C542=Summary!$Q$2),Summary!$R$2,C542))</f>
        <v>Reed</v>
      </c>
      <c r="D543" t="str">
        <f>IF(C543=Summary!$P$26,VLOOKUP(Summary!M550,Summary!$Q$26:$R$27,2),IF('Run Data'!C543=Summary!$P$28,VLOOKUP(Summary!M550,Summary!$Q$28:$R$29,2),VLOOKUP(Summary!M550,Summary!$Q$30:$R$32,2)))</f>
        <v>Sprig 2</v>
      </c>
      <c r="E543" t="str">
        <f>VLOOKUP(Summary!M553,Summary!$P$42:$Q$43,2)</f>
        <v>86</v>
      </c>
      <c r="F543">
        <f>IF(LEFT(A543,3)="B60",20,IF(LEFT(A543,3)="B12",30,25))+B543*0.5+INT(Summary!M556*20)</f>
        <v>478</v>
      </c>
      <c r="G543">
        <f>ROUND(IF(OR(ISERROR(FIND(Summary!$P$89,CONCATENATE(C543,D543,E543))),ISERROR(FIND(Summary!$Q$89,A543))),Summary!$R$45,IF(H543&gt;Summary!$V$3,Summary!$R$46,Summary!$R$45))*(B543+30),0)</f>
        <v>9</v>
      </c>
      <c r="H543">
        <f>IF(H542&gt;Summary!$V$4,0,H542+F542)</f>
        <v>10401</v>
      </c>
      <c r="I543" s="26">
        <f>DATE(YEAR(Summary!$V$2),MONTH(Summary!$V$2),DAY(Summary!$V$2)+INT(H543/480))</f>
        <v>43611</v>
      </c>
      <c r="J543" s="27">
        <f t="shared" si="9"/>
        <v>0.55625000000000002</v>
      </c>
    </row>
    <row r="544" spans="1:10">
      <c r="A544" t="str">
        <f>VLOOKUP(Summary!M543,Summary!$P$13:$Q$24,2)</f>
        <v>B1200-sky</v>
      </c>
      <c r="B544">
        <f>ROUND(NORMINV(Summary!M545,VLOOKUP(A544,Summary!$Q$13:$S$24,3,FALSE),VLOOKUP(A544,Summary!$Q$13:$S$24,3,FALSE)/6),-1)</f>
        <v>1180</v>
      </c>
      <c r="C544" t="str">
        <f>IF(AND(H544=0,C543=Summary!$P$2),Summary!$Q$2,IF(AND(H544=0,C543=Summary!$Q$2),Summary!$R$2,C543))</f>
        <v>Reed</v>
      </c>
      <c r="D544" t="str">
        <f>IF(C544=Summary!$P$26,VLOOKUP(Summary!M551,Summary!$Q$26:$R$27,2),IF('Run Data'!C544=Summary!$P$28,VLOOKUP(Summary!M551,Summary!$Q$28:$R$29,2),VLOOKUP(Summary!M551,Summary!$Q$30:$R$32,2)))</f>
        <v>Sprig 2</v>
      </c>
      <c r="E544" t="str">
        <f>VLOOKUP(Summary!M554,Summary!$P$42:$Q$43,2)</f>
        <v>87b</v>
      </c>
      <c r="F544">
        <f>IF(LEFT(A544,3)="B60",20,IF(LEFT(A544,3)="B12",30,25))+B544*0.5+INT(Summary!M557*20)</f>
        <v>636</v>
      </c>
      <c r="G544">
        <f>ROUND(IF(OR(ISERROR(FIND(Summary!$P$89,CONCATENATE(C544,D544,E544))),ISERROR(FIND(Summary!$Q$89,A544))),Summary!$R$45,IF(H544&gt;Summary!$V$3,Summary!$R$46,Summary!$R$45))*(B544+30),0)</f>
        <v>12</v>
      </c>
      <c r="H544">
        <f>IF(H543&gt;Summary!$V$4,0,H543+F543)</f>
        <v>10879</v>
      </c>
      <c r="I544" s="26">
        <f>DATE(YEAR(Summary!$V$2),MONTH(Summary!$V$2),DAY(Summary!$V$2)+INT(H544/480))</f>
        <v>43612</v>
      </c>
      <c r="J544" s="27">
        <f t="shared" si="9"/>
        <v>0.55486111111111114</v>
      </c>
    </row>
    <row r="545" spans="1:10">
      <c r="A545" t="str">
        <f>VLOOKUP(Summary!M544,Summary!$P$13:$Q$24,2)</f>
        <v>B1700-plum</v>
      </c>
      <c r="B545">
        <f>ROUND(NORMINV(Summary!M546,VLOOKUP(A545,Summary!$Q$13:$S$24,3,FALSE),VLOOKUP(A545,Summary!$Q$13:$S$24,3,FALSE)/6),-1)</f>
        <v>260</v>
      </c>
      <c r="C545" t="str">
        <f>IF(AND(H545=0,C544=Summary!$P$2),Summary!$Q$2,IF(AND(H545=0,C544=Summary!$Q$2),Summary!$R$2,C544))</f>
        <v>Reed</v>
      </c>
      <c r="D545" t="str">
        <f>IF(C545=Summary!$P$26,VLOOKUP(Summary!M552,Summary!$Q$26:$R$27,2),IF('Run Data'!C545=Summary!$P$28,VLOOKUP(Summary!M552,Summary!$Q$28:$R$29,2),VLOOKUP(Summary!M552,Summary!$Q$30:$R$32,2)))</f>
        <v>Sprig 2</v>
      </c>
      <c r="E545" t="str">
        <f>VLOOKUP(Summary!M555,Summary!$P$42:$Q$43,2)</f>
        <v>87b</v>
      </c>
      <c r="F545">
        <f>IF(LEFT(A545,3)="B60",20,IF(LEFT(A545,3)="B12",30,25))+B545*0.5+INT(Summary!M558*20)</f>
        <v>168</v>
      </c>
      <c r="G545">
        <f>ROUND(IF(OR(ISERROR(FIND(Summary!$P$89,CONCATENATE(C545,D545,E545))),ISERROR(FIND(Summary!$Q$89,A545))),Summary!$R$45,IF(H545&gt;Summary!$V$3,Summary!$R$46,Summary!$R$45))*(B545+30),0)</f>
        <v>3</v>
      </c>
      <c r="H545">
        <f>IF(H544&gt;Summary!$V$4,0,H544+F544)</f>
        <v>11515</v>
      </c>
      <c r="I545" s="26">
        <f>DATE(YEAR(Summary!$V$2),MONTH(Summary!$V$2),DAY(Summary!$V$2)+INT(H545/480))</f>
        <v>43613</v>
      </c>
      <c r="J545" s="27">
        <f t="shared" si="9"/>
        <v>0.66319444444444442</v>
      </c>
    </row>
    <row r="546" spans="1:10">
      <c r="A546" t="str">
        <f>VLOOKUP(Summary!M545,Summary!$P$13:$Q$24,2)</f>
        <v>B1200-fire</v>
      </c>
      <c r="B546">
        <f>ROUND(NORMINV(Summary!M547,VLOOKUP(A546,Summary!$Q$13:$S$24,3,FALSE),VLOOKUP(A546,Summary!$Q$13:$S$24,3,FALSE)/6),-1)</f>
        <v>990</v>
      </c>
      <c r="C546" t="str">
        <f>IF(AND(H546=0,C545=Summary!$P$2),Summary!$Q$2,IF(AND(H546=0,C545=Summary!$Q$2),Summary!$R$2,C545))</f>
        <v>Reed</v>
      </c>
      <c r="D546" t="str">
        <f>IF(C546=Summary!$P$26,VLOOKUP(Summary!M553,Summary!$Q$26:$R$27,2),IF('Run Data'!C546=Summary!$P$28,VLOOKUP(Summary!M553,Summary!$Q$28:$R$29,2),VLOOKUP(Summary!M553,Summary!$Q$30:$R$32,2)))</f>
        <v>Sprig 2</v>
      </c>
      <c r="E546" t="str">
        <f>VLOOKUP(Summary!M556,Summary!$P$42:$Q$43,2)</f>
        <v>86</v>
      </c>
      <c r="F546">
        <f>IF(LEFT(A546,3)="B60",20,IF(LEFT(A546,3)="B12",30,25))+B546*0.5+INT(Summary!M559*20)</f>
        <v>540</v>
      </c>
      <c r="G546">
        <f>ROUND(IF(OR(ISERROR(FIND(Summary!$P$89,CONCATENATE(C546,D546,E546))),ISERROR(FIND(Summary!$Q$89,A546))),Summary!$R$45,IF(H546&gt;Summary!$V$3,Summary!$R$46,Summary!$R$45))*(B546+30),0)</f>
        <v>10</v>
      </c>
      <c r="H546">
        <f>IF(H545&gt;Summary!$V$4,0,H545+F545)</f>
        <v>11683</v>
      </c>
      <c r="I546" s="26">
        <f>DATE(YEAR(Summary!$V$2),MONTH(Summary!$V$2),DAY(Summary!$V$2)+INT(H546/480))</f>
        <v>43614</v>
      </c>
      <c r="J546" s="27">
        <f t="shared" si="9"/>
        <v>0.4465277777777778</v>
      </c>
    </row>
    <row r="547" spans="1:10">
      <c r="A547" t="str">
        <f>VLOOKUP(Summary!M546,Summary!$P$13:$Q$24,2)</f>
        <v>B600-lime</v>
      </c>
      <c r="B547">
        <f>ROUND(NORMINV(Summary!M548,VLOOKUP(A547,Summary!$Q$13:$S$24,3,FALSE),VLOOKUP(A547,Summary!$Q$13:$S$24,3,FALSE)/6),-1)</f>
        <v>310</v>
      </c>
      <c r="C547" t="str">
        <f>IF(AND(H547=0,C546=Summary!$P$2),Summary!$Q$2,IF(AND(H547=0,C546=Summary!$Q$2),Summary!$R$2,C546))</f>
        <v>Reed</v>
      </c>
      <c r="D547" t="str">
        <f>IF(C547=Summary!$P$26,VLOOKUP(Summary!M554,Summary!$Q$26:$R$27,2),IF('Run Data'!C547=Summary!$P$28,VLOOKUP(Summary!M554,Summary!$Q$28:$R$29,2),VLOOKUP(Summary!M554,Summary!$Q$30:$R$32,2)))</f>
        <v>Sprig 4</v>
      </c>
      <c r="E547" t="str">
        <f>VLOOKUP(Summary!M557,Summary!$P$42:$Q$43,2)</f>
        <v>86</v>
      </c>
      <c r="F547">
        <f>IF(LEFT(A547,3)="B60",20,IF(LEFT(A547,3)="B12",30,25))+B547*0.5+INT(Summary!M560*20)</f>
        <v>177</v>
      </c>
      <c r="G547">
        <f>ROUND(IF(OR(ISERROR(FIND(Summary!$P$89,CONCATENATE(C547,D547,E547))),ISERROR(FIND(Summary!$Q$89,A547))),Summary!$R$45,IF(H547&gt;Summary!$V$3,Summary!$R$46,Summary!$R$45))*(B547+30),0)</f>
        <v>3</v>
      </c>
      <c r="H547">
        <f>IF(H546&gt;Summary!$V$4,0,H546+F546)</f>
        <v>12223</v>
      </c>
      <c r="I547" s="26">
        <f>DATE(YEAR(Summary!$V$2),MONTH(Summary!$V$2),DAY(Summary!$V$2)+INT(H547/480))</f>
        <v>43615</v>
      </c>
      <c r="J547" s="27">
        <f t="shared" si="9"/>
        <v>0.48819444444444443</v>
      </c>
    </row>
    <row r="548" spans="1:10">
      <c r="A548" t="str">
        <f>VLOOKUP(Summary!M547,Summary!$P$13:$Q$24,2)</f>
        <v>B600-fire</v>
      </c>
      <c r="B548">
        <f>ROUND(NORMINV(Summary!M549,VLOOKUP(A548,Summary!$Q$13:$S$24,3,FALSE),VLOOKUP(A548,Summary!$Q$13:$S$24,3,FALSE)/6),-1)</f>
        <v>320</v>
      </c>
      <c r="C548" t="str">
        <f>IF(AND(H548=0,C547=Summary!$P$2),Summary!$Q$2,IF(AND(H548=0,C547=Summary!$Q$2),Summary!$R$2,C547))</f>
        <v>Reed</v>
      </c>
      <c r="D548" t="str">
        <f>IF(C548=Summary!$P$26,VLOOKUP(Summary!M555,Summary!$Q$26:$R$27,2),IF('Run Data'!C548=Summary!$P$28,VLOOKUP(Summary!M555,Summary!$Q$28:$R$29,2),VLOOKUP(Summary!M555,Summary!$Q$30:$R$32,2)))</f>
        <v>Sprig 4</v>
      </c>
      <c r="E548" t="str">
        <f>VLOOKUP(Summary!M558,Summary!$P$42:$Q$43,2)</f>
        <v>86</v>
      </c>
      <c r="F548">
        <f>IF(LEFT(A548,3)="B60",20,IF(LEFT(A548,3)="B12",30,25))+B548*0.5+INT(Summary!M561*20)</f>
        <v>195</v>
      </c>
      <c r="G548">
        <f>ROUND(IF(OR(ISERROR(FIND(Summary!$P$89,CONCATENATE(C548,D548,E548))),ISERROR(FIND(Summary!$Q$89,A548))),Summary!$R$45,IF(H548&gt;Summary!$V$3,Summary!$R$46,Summary!$R$45))*(B548+30),0)</f>
        <v>4</v>
      </c>
      <c r="H548">
        <f>IF(H547&gt;Summary!$V$4,0,H547+F547)</f>
        <v>12400</v>
      </c>
      <c r="I548" s="26">
        <f>DATE(YEAR(Summary!$V$2),MONTH(Summary!$V$2),DAY(Summary!$V$2)+INT(H548/480))</f>
        <v>43615</v>
      </c>
      <c r="J548" s="27">
        <f t="shared" si="9"/>
        <v>0.61111111111111105</v>
      </c>
    </row>
    <row r="549" spans="1:10">
      <c r="A549" t="str">
        <f>VLOOKUP(Summary!M548,Summary!$P$13:$Q$24,2)</f>
        <v>B1200-lime</v>
      </c>
      <c r="B549">
        <f>ROUND(NORMINV(Summary!M550,VLOOKUP(A549,Summary!$Q$13:$S$24,3,FALSE),VLOOKUP(A549,Summary!$Q$13:$S$24,3,FALSE)/6),-1)</f>
        <v>630</v>
      </c>
      <c r="C549" t="str">
        <f>IF(AND(H549=0,C548=Summary!$P$2),Summary!$Q$2,IF(AND(H549=0,C548=Summary!$Q$2),Summary!$R$2,C548))</f>
        <v>Reed</v>
      </c>
      <c r="D549" t="str">
        <f>IF(C549=Summary!$P$26,VLOOKUP(Summary!M556,Summary!$Q$26:$R$27,2),IF('Run Data'!C549=Summary!$P$28,VLOOKUP(Summary!M556,Summary!$Q$28:$R$29,2),VLOOKUP(Summary!M556,Summary!$Q$30:$R$32,2)))</f>
        <v>Sprig 2</v>
      </c>
      <c r="E549" t="str">
        <f>VLOOKUP(Summary!M559,Summary!$P$42:$Q$43,2)</f>
        <v>86</v>
      </c>
      <c r="F549">
        <f>IF(LEFT(A549,3)="B60",20,IF(LEFT(A549,3)="B12",30,25))+B549*0.5+INT(Summary!M562*20)</f>
        <v>351</v>
      </c>
      <c r="G549">
        <f>ROUND(IF(OR(ISERROR(FIND(Summary!$P$89,CONCATENATE(C549,D549,E549))),ISERROR(FIND(Summary!$Q$89,A549))),Summary!$R$45,IF(H549&gt;Summary!$V$3,Summary!$R$46,Summary!$R$45))*(B549+30),0)</f>
        <v>7</v>
      </c>
      <c r="H549">
        <f>IF(H548&gt;Summary!$V$4,0,H548+F548)</f>
        <v>12595</v>
      </c>
      <c r="I549" s="26">
        <f>DATE(YEAR(Summary!$V$2),MONTH(Summary!$V$2),DAY(Summary!$V$2)+INT(H549/480))</f>
        <v>43616</v>
      </c>
      <c r="J549" s="27">
        <f t="shared" si="9"/>
        <v>0.41319444444444442</v>
      </c>
    </row>
    <row r="550" spans="1:10">
      <c r="A550" t="str">
        <f>VLOOKUP(Summary!M549,Summary!$P$13:$Q$24,2)</f>
        <v>B600-fire</v>
      </c>
      <c r="B550">
        <f>ROUND(NORMINV(Summary!M551,VLOOKUP(A550,Summary!$Q$13:$S$24,3,FALSE),VLOOKUP(A550,Summary!$Q$13:$S$24,3,FALSE)/6),-1)</f>
        <v>350</v>
      </c>
      <c r="C550" t="str">
        <f>IF(AND(H550=0,C549=Summary!$P$2),Summary!$Q$2,IF(AND(H550=0,C549=Summary!$Q$2),Summary!$R$2,C549))</f>
        <v>Reed</v>
      </c>
      <c r="D550" t="str">
        <f>IF(C550=Summary!$P$26,VLOOKUP(Summary!M557,Summary!$Q$26:$R$27,2),IF('Run Data'!C550=Summary!$P$28,VLOOKUP(Summary!M557,Summary!$Q$28:$R$29,2),VLOOKUP(Summary!M557,Summary!$Q$30:$R$32,2)))</f>
        <v>Sprig 4</v>
      </c>
      <c r="E550" t="str">
        <f>VLOOKUP(Summary!M560,Summary!$P$42:$Q$43,2)</f>
        <v>86</v>
      </c>
      <c r="F550">
        <f>IF(LEFT(A550,3)="B60",20,IF(LEFT(A550,3)="B12",30,25))+B550*0.5+INT(Summary!M563*20)</f>
        <v>211</v>
      </c>
      <c r="G550">
        <f>ROUND(IF(OR(ISERROR(FIND(Summary!$P$89,CONCATENATE(C550,D550,E550))),ISERROR(FIND(Summary!$Q$89,A550))),Summary!$R$45,IF(H550&gt;Summary!$V$3,Summary!$R$46,Summary!$R$45))*(B550+30),0)</f>
        <v>4</v>
      </c>
      <c r="H550">
        <f>IF(H549&gt;Summary!$V$4,0,H549+F549)</f>
        <v>12946</v>
      </c>
      <c r="I550" s="26">
        <f>DATE(YEAR(Summary!$V$2),MONTH(Summary!$V$2),DAY(Summary!$V$2)+INT(H550/480))</f>
        <v>43616</v>
      </c>
      <c r="J550" s="27">
        <f t="shared" si="9"/>
        <v>0.65694444444444444</v>
      </c>
    </row>
    <row r="551" spans="1:10">
      <c r="A551" t="str">
        <f>VLOOKUP(Summary!M550,Summary!$P$13:$Q$24,2)</f>
        <v>B600-sky</v>
      </c>
      <c r="B551">
        <f>ROUND(NORMINV(Summary!M552,VLOOKUP(A551,Summary!$Q$13:$S$24,3,FALSE),VLOOKUP(A551,Summary!$Q$13:$S$24,3,FALSE)/6),-1)</f>
        <v>500</v>
      </c>
      <c r="C551" t="str">
        <f>IF(AND(H551=0,C550=Summary!$P$2),Summary!$Q$2,IF(AND(H551=0,C550=Summary!$Q$2),Summary!$R$2,C550))</f>
        <v>Reed</v>
      </c>
      <c r="D551" t="str">
        <f>IF(C551=Summary!$P$26,VLOOKUP(Summary!M558,Summary!$Q$26:$R$27,2),IF('Run Data'!C551=Summary!$P$28,VLOOKUP(Summary!M558,Summary!$Q$28:$R$29,2),VLOOKUP(Summary!M558,Summary!$Q$30:$R$32,2)))</f>
        <v>Sprig 2</v>
      </c>
      <c r="E551" t="str">
        <f>VLOOKUP(Summary!M561,Summary!$P$42:$Q$43,2)</f>
        <v>86</v>
      </c>
      <c r="F551">
        <f>IF(LEFT(A551,3)="B60",20,IF(LEFT(A551,3)="B12",30,25))+B551*0.5+INT(Summary!M564*20)</f>
        <v>275</v>
      </c>
      <c r="G551">
        <f>ROUND(IF(OR(ISERROR(FIND(Summary!$P$89,CONCATENATE(C551,D551,E551))),ISERROR(FIND(Summary!$Q$89,A551))),Summary!$R$45,IF(H551&gt;Summary!$V$3,Summary!$R$46,Summary!$R$45))*(B551+30),0)</f>
        <v>5</v>
      </c>
      <c r="H551">
        <f>IF(H550&gt;Summary!$V$4,0,H550+F550)</f>
        <v>13157</v>
      </c>
      <c r="I551" s="26">
        <f>DATE(YEAR(Summary!$V$2),MONTH(Summary!$V$2),DAY(Summary!$V$2)+INT(H551/480))</f>
        <v>43617</v>
      </c>
      <c r="J551" s="27">
        <f t="shared" si="9"/>
        <v>0.47013888888888888</v>
      </c>
    </row>
    <row r="552" spans="1:10">
      <c r="A552" t="str">
        <f>VLOOKUP(Summary!M551,Summary!$P$13:$Q$24,2)</f>
        <v>B600-lime</v>
      </c>
      <c r="B552">
        <f>ROUND(NORMINV(Summary!M553,VLOOKUP(A552,Summary!$Q$13:$S$24,3,FALSE),VLOOKUP(A552,Summary!$Q$13:$S$24,3,FALSE)/6),-1)</f>
        <v>300</v>
      </c>
      <c r="C552" t="str">
        <f>IF(AND(H552=0,C551=Summary!$P$2),Summary!$Q$2,IF(AND(H552=0,C551=Summary!$Q$2),Summary!$R$2,C551))</f>
        <v>Reed</v>
      </c>
      <c r="D552" t="str">
        <f>IF(C552=Summary!$P$26,VLOOKUP(Summary!M559,Summary!$Q$26:$R$27,2),IF('Run Data'!C552=Summary!$P$28,VLOOKUP(Summary!M559,Summary!$Q$28:$R$29,2),VLOOKUP(Summary!M559,Summary!$Q$30:$R$32,2)))</f>
        <v>Sprig 2</v>
      </c>
      <c r="E552" t="str">
        <f>VLOOKUP(Summary!M562,Summary!$P$42:$Q$43,2)</f>
        <v>86</v>
      </c>
      <c r="F552">
        <f>IF(LEFT(A552,3)="B60",20,IF(LEFT(A552,3)="B12",30,25))+B552*0.5+INT(Summary!M565*20)</f>
        <v>174</v>
      </c>
      <c r="G552">
        <f>ROUND(IF(OR(ISERROR(FIND(Summary!$P$89,CONCATENATE(C552,D552,E552))),ISERROR(FIND(Summary!$Q$89,A552))),Summary!$R$45,IF(H552&gt;Summary!$V$3,Summary!$R$46,Summary!$R$45))*(B552+30),0)</f>
        <v>3</v>
      </c>
      <c r="H552">
        <f>IF(H551&gt;Summary!$V$4,0,H551+F551)</f>
        <v>13432</v>
      </c>
      <c r="I552" s="26">
        <f>DATE(YEAR(Summary!$V$2),MONTH(Summary!$V$2),DAY(Summary!$V$2)+INT(H552/480))</f>
        <v>43617</v>
      </c>
      <c r="J552" s="27">
        <f t="shared" si="9"/>
        <v>0.66111111111111109</v>
      </c>
    </row>
    <row r="553" spans="1:10">
      <c r="A553" t="str">
        <f>VLOOKUP(Summary!M552,Summary!$P$13:$Q$24,2)</f>
        <v>B1200-fire</v>
      </c>
      <c r="B553">
        <f>ROUND(NORMINV(Summary!M554,VLOOKUP(A553,Summary!$Q$13:$S$24,3,FALSE),VLOOKUP(A553,Summary!$Q$13:$S$24,3,FALSE)/6),-1)</f>
        <v>1500</v>
      </c>
      <c r="C553" t="str">
        <f>IF(AND(H553=0,C552=Summary!$P$2),Summary!$Q$2,IF(AND(H553=0,C552=Summary!$Q$2),Summary!$R$2,C552))</f>
        <v>Reed</v>
      </c>
      <c r="D553" t="str">
        <f>IF(C553=Summary!$P$26,VLOOKUP(Summary!M560,Summary!$Q$26:$R$27,2),IF('Run Data'!C553=Summary!$P$28,VLOOKUP(Summary!M560,Summary!$Q$28:$R$29,2),VLOOKUP(Summary!M560,Summary!$Q$30:$R$32,2)))</f>
        <v>Sprig 2</v>
      </c>
      <c r="E553" t="str">
        <f>VLOOKUP(Summary!M563,Summary!$P$42:$Q$43,2)</f>
        <v>86</v>
      </c>
      <c r="F553">
        <f>IF(LEFT(A553,3)="B60",20,IF(LEFT(A553,3)="B12",30,25))+B553*0.5+INT(Summary!M566*20)</f>
        <v>783</v>
      </c>
      <c r="G553">
        <f>ROUND(IF(OR(ISERROR(FIND(Summary!$P$89,CONCATENATE(C553,D553,E553))),ISERROR(FIND(Summary!$Q$89,A553))),Summary!$R$45,IF(H553&gt;Summary!$V$3,Summary!$R$46,Summary!$R$45))*(B553+30),0)</f>
        <v>15</v>
      </c>
      <c r="H553">
        <f>IF(H552&gt;Summary!$V$4,0,H552+F552)</f>
        <v>13606</v>
      </c>
      <c r="I553" s="26">
        <f>DATE(YEAR(Summary!$V$2),MONTH(Summary!$V$2),DAY(Summary!$V$2)+INT(H553/480))</f>
        <v>43618</v>
      </c>
      <c r="J553" s="27">
        <f t="shared" si="9"/>
        <v>0.44861111111111113</v>
      </c>
    </row>
    <row r="554" spans="1:10">
      <c r="A554" t="str">
        <f>VLOOKUP(Summary!M553,Summary!$P$13:$Q$24,2)</f>
        <v>B1200-fire</v>
      </c>
      <c r="B554">
        <f>ROUND(NORMINV(Summary!M555,VLOOKUP(A554,Summary!$Q$13:$S$24,3,FALSE),VLOOKUP(A554,Summary!$Q$13:$S$24,3,FALSE)/6),-1)</f>
        <v>1770</v>
      </c>
      <c r="C554" t="str">
        <f>IF(AND(H554=0,C553=Summary!$P$2),Summary!$Q$2,IF(AND(H554=0,C553=Summary!$Q$2),Summary!$R$2,C553))</f>
        <v>Reed</v>
      </c>
      <c r="D554" t="str">
        <f>IF(C554=Summary!$P$26,VLOOKUP(Summary!M561,Summary!$Q$26:$R$27,2),IF('Run Data'!C554=Summary!$P$28,VLOOKUP(Summary!M561,Summary!$Q$28:$R$29,2),VLOOKUP(Summary!M561,Summary!$Q$30:$R$32,2)))</f>
        <v>Sprig 2</v>
      </c>
      <c r="E554" t="str">
        <f>VLOOKUP(Summary!M564,Summary!$P$42:$Q$43,2)</f>
        <v>86</v>
      </c>
      <c r="F554">
        <f>IF(LEFT(A554,3)="B60",20,IF(LEFT(A554,3)="B12",30,25))+B554*0.5+INT(Summary!M567*20)</f>
        <v>923</v>
      </c>
      <c r="G554">
        <f>ROUND(IF(OR(ISERROR(FIND(Summary!$P$89,CONCATENATE(C554,D554,E554))),ISERROR(FIND(Summary!$Q$89,A554))),Summary!$R$45,IF(H554&gt;Summary!$V$3,Summary!$R$46,Summary!$R$45))*(B554+30),0)</f>
        <v>18</v>
      </c>
      <c r="H554">
        <f>IF(H553&gt;Summary!$V$4,0,H553+F553)</f>
        <v>14389</v>
      </c>
      <c r="I554" s="26">
        <f>DATE(YEAR(Summary!$V$2),MONTH(Summary!$V$2),DAY(Summary!$V$2)+INT(H554/480))</f>
        <v>43619</v>
      </c>
      <c r="J554" s="27">
        <f t="shared" si="9"/>
        <v>0.65902777777777777</v>
      </c>
    </row>
    <row r="555" spans="1:10">
      <c r="A555" t="str">
        <f>VLOOKUP(Summary!M554,Summary!$P$13:$Q$24,2)</f>
        <v>B1700-lime</v>
      </c>
      <c r="B555">
        <f>ROUND(NORMINV(Summary!M556,VLOOKUP(A555,Summary!$Q$13:$S$24,3,FALSE),VLOOKUP(A555,Summary!$Q$13:$S$24,3,FALSE)/6),-1)</f>
        <v>390</v>
      </c>
      <c r="C555" t="str">
        <f>IF(AND(H555=0,C554=Summary!$P$2),Summary!$Q$2,IF(AND(H555=0,C554=Summary!$Q$2),Summary!$R$2,C554))</f>
        <v>Reed</v>
      </c>
      <c r="D555" t="str">
        <f>IF(C555=Summary!$P$26,VLOOKUP(Summary!M562,Summary!$Q$26:$R$27,2),IF('Run Data'!C555=Summary!$P$28,VLOOKUP(Summary!M562,Summary!$Q$28:$R$29,2),VLOOKUP(Summary!M562,Summary!$Q$30:$R$32,2)))</f>
        <v>Sprig 2</v>
      </c>
      <c r="E555" t="str">
        <f>VLOOKUP(Summary!M565,Summary!$P$42:$Q$43,2)</f>
        <v>86</v>
      </c>
      <c r="F555">
        <f>IF(LEFT(A555,3)="B60",20,IF(LEFT(A555,3)="B12",30,25))+B555*0.5+INT(Summary!M568*20)</f>
        <v>232</v>
      </c>
      <c r="G555">
        <f>ROUND(IF(OR(ISERROR(FIND(Summary!$P$89,CONCATENATE(C555,D555,E555))),ISERROR(FIND(Summary!$Q$89,A555))),Summary!$R$45,IF(H555&gt;Summary!$V$3,Summary!$R$46,Summary!$R$45))*(B555+30),0)</f>
        <v>4</v>
      </c>
      <c r="H555">
        <f>IF(H554&gt;Summary!$V$4,0,H554+F554)</f>
        <v>15312</v>
      </c>
      <c r="I555" s="26">
        <f>DATE(YEAR(Summary!$V$2),MONTH(Summary!$V$2),DAY(Summary!$V$2)+INT(H555/480))</f>
        <v>43621</v>
      </c>
      <c r="J555" s="27">
        <f t="shared" si="9"/>
        <v>0.6333333333333333</v>
      </c>
    </row>
    <row r="556" spans="1:10">
      <c r="A556" t="str">
        <f>VLOOKUP(Summary!M555,Summary!$P$13:$Q$24,2)</f>
        <v>B1700-lime</v>
      </c>
      <c r="B556">
        <f>ROUND(NORMINV(Summary!M557,VLOOKUP(A556,Summary!$Q$13:$S$24,3,FALSE),VLOOKUP(A556,Summary!$Q$13:$S$24,3,FALSE)/6),-1)</f>
        <v>460</v>
      </c>
      <c r="C556" t="str">
        <f>IF(AND(H556=0,C555=Summary!$P$2),Summary!$Q$2,IF(AND(H556=0,C555=Summary!$Q$2),Summary!$R$2,C555))</f>
        <v>Reed</v>
      </c>
      <c r="D556" t="str">
        <f>IF(C556=Summary!$P$26,VLOOKUP(Summary!M563,Summary!$Q$26:$R$27,2),IF('Run Data'!C556=Summary!$P$28,VLOOKUP(Summary!M563,Summary!$Q$28:$R$29,2),VLOOKUP(Summary!M563,Summary!$Q$30:$R$32,2)))</f>
        <v>Sprig 4</v>
      </c>
      <c r="E556" t="str">
        <f>VLOOKUP(Summary!M566,Summary!$P$42:$Q$43,2)</f>
        <v>86</v>
      </c>
      <c r="F556">
        <f>IF(LEFT(A556,3)="B60",20,IF(LEFT(A556,3)="B12",30,25))+B556*0.5+INT(Summary!M569*20)</f>
        <v>270</v>
      </c>
      <c r="G556">
        <f>ROUND(IF(OR(ISERROR(FIND(Summary!$P$89,CONCATENATE(C556,D556,E556))),ISERROR(FIND(Summary!$Q$89,A556))),Summary!$R$45,IF(H556&gt;Summary!$V$3,Summary!$R$46,Summary!$R$45))*(B556+30),0)</f>
        <v>5</v>
      </c>
      <c r="H556">
        <f>IF(H555&gt;Summary!$V$4,0,H555+F555)</f>
        <v>15544</v>
      </c>
      <c r="I556" s="26">
        <f>DATE(YEAR(Summary!$V$2),MONTH(Summary!$V$2),DAY(Summary!$V$2)+INT(H556/480))</f>
        <v>43622</v>
      </c>
      <c r="J556" s="27">
        <f t="shared" si="9"/>
        <v>0.46111111111111108</v>
      </c>
    </row>
    <row r="557" spans="1:10">
      <c r="A557" t="str">
        <f>VLOOKUP(Summary!M556,Summary!$P$13:$Q$24,2)</f>
        <v>B1200-sky</v>
      </c>
      <c r="B557">
        <f>ROUND(NORMINV(Summary!M558,VLOOKUP(A557,Summary!$Q$13:$S$24,3,FALSE),VLOOKUP(A557,Summary!$Q$13:$S$24,3,FALSE)/6),-1)</f>
        <v>1290</v>
      </c>
      <c r="C557" t="str">
        <f>IF(AND(H557=0,C556=Summary!$P$2),Summary!$Q$2,IF(AND(H557=0,C556=Summary!$Q$2),Summary!$R$2,C556))</f>
        <v>Reed</v>
      </c>
      <c r="D557" t="str">
        <f>IF(C557=Summary!$P$26,VLOOKUP(Summary!M564,Summary!$Q$26:$R$27,2),IF('Run Data'!C557=Summary!$P$28,VLOOKUP(Summary!M564,Summary!$Q$28:$R$29,2),VLOOKUP(Summary!M564,Summary!$Q$30:$R$32,2)))</f>
        <v>Sprig 2</v>
      </c>
      <c r="E557" t="str">
        <f>VLOOKUP(Summary!M567,Summary!$P$42:$Q$43,2)</f>
        <v>86</v>
      </c>
      <c r="F557">
        <f>IF(LEFT(A557,3)="B60",20,IF(LEFT(A557,3)="B12",30,25))+B557*0.5+INT(Summary!M570*20)</f>
        <v>683</v>
      </c>
      <c r="G557">
        <f>ROUND(IF(OR(ISERROR(FIND(Summary!$P$89,CONCATENATE(C557,D557,E557))),ISERROR(FIND(Summary!$Q$89,A557))),Summary!$R$45,IF(H557&gt;Summary!$V$3,Summary!$R$46,Summary!$R$45))*(B557+30),0)</f>
        <v>13</v>
      </c>
      <c r="H557">
        <f>IF(H556&gt;Summary!$V$4,0,H556+F556)</f>
        <v>15814</v>
      </c>
      <c r="I557" s="26">
        <f>DATE(YEAR(Summary!$V$2),MONTH(Summary!$V$2),DAY(Summary!$V$2)+INT(H557/480))</f>
        <v>43622</v>
      </c>
      <c r="J557" s="27">
        <f t="shared" si="9"/>
        <v>0.64861111111111114</v>
      </c>
    </row>
    <row r="558" spans="1:10">
      <c r="A558" t="str">
        <f>VLOOKUP(Summary!M557,Summary!$P$13:$Q$24,2)</f>
        <v>B1700-sky</v>
      </c>
      <c r="B558">
        <f>ROUND(NORMINV(Summary!M559,VLOOKUP(A558,Summary!$Q$13:$S$24,3,FALSE),VLOOKUP(A558,Summary!$Q$13:$S$24,3,FALSE)/6),-1)</f>
        <v>610</v>
      </c>
      <c r="C558" t="str">
        <f>IF(AND(H558=0,C557=Summary!$P$2),Summary!$Q$2,IF(AND(H558=0,C557=Summary!$Q$2),Summary!$R$2,C557))</f>
        <v>Reed</v>
      </c>
      <c r="D558" t="str">
        <f>IF(C558=Summary!$P$26,VLOOKUP(Summary!M565,Summary!$Q$26:$R$27,2),IF('Run Data'!C558=Summary!$P$28,VLOOKUP(Summary!M565,Summary!$Q$28:$R$29,2),VLOOKUP(Summary!M565,Summary!$Q$30:$R$32,2)))</f>
        <v>Sprig 2</v>
      </c>
      <c r="E558" t="str">
        <f>VLOOKUP(Summary!M568,Summary!$P$42:$Q$43,2)</f>
        <v>86</v>
      </c>
      <c r="F558">
        <f>IF(LEFT(A558,3)="B60",20,IF(LEFT(A558,3)="B12",30,25))+B558*0.5+INT(Summary!M571*20)</f>
        <v>339</v>
      </c>
      <c r="G558">
        <f>ROUND(IF(OR(ISERROR(FIND(Summary!$P$89,CONCATENATE(C558,D558,E558))),ISERROR(FIND(Summary!$Q$89,A558))),Summary!$R$45,IF(H558&gt;Summary!$V$3,Summary!$R$46,Summary!$R$45))*(B558+30),0)</f>
        <v>6</v>
      </c>
      <c r="H558">
        <f>IF(H557&gt;Summary!$V$4,0,H557+F557)</f>
        <v>16497</v>
      </c>
      <c r="I558" s="26">
        <f>DATE(YEAR(Summary!$V$2),MONTH(Summary!$V$2),DAY(Summary!$V$2)+INT(H558/480))</f>
        <v>43624</v>
      </c>
      <c r="J558" s="27">
        <f t="shared" si="9"/>
        <v>0.45624999999999999</v>
      </c>
    </row>
    <row r="559" spans="1:10">
      <c r="A559" t="str">
        <f>VLOOKUP(Summary!M558,Summary!$P$13:$Q$24,2)</f>
        <v>B1200-lime</v>
      </c>
      <c r="B559">
        <f>ROUND(NORMINV(Summary!M560,VLOOKUP(A559,Summary!$Q$13:$S$24,3,FALSE),VLOOKUP(A559,Summary!$Q$13:$S$24,3,FALSE)/6),-1)</f>
        <v>630</v>
      </c>
      <c r="C559" t="str">
        <f>IF(AND(H559=0,C558=Summary!$P$2),Summary!$Q$2,IF(AND(H559=0,C558=Summary!$Q$2),Summary!$R$2,C558))</f>
        <v>Reed</v>
      </c>
      <c r="D559" t="str">
        <f>IF(C559=Summary!$P$26,VLOOKUP(Summary!M566,Summary!$Q$26:$R$27,2),IF('Run Data'!C559=Summary!$P$28,VLOOKUP(Summary!M566,Summary!$Q$28:$R$29,2),VLOOKUP(Summary!M566,Summary!$Q$30:$R$32,2)))</f>
        <v>Sprig 2</v>
      </c>
      <c r="E559" t="str">
        <f>VLOOKUP(Summary!M569,Summary!$P$42:$Q$43,2)</f>
        <v>86</v>
      </c>
      <c r="F559">
        <f>IF(LEFT(A559,3)="B60",20,IF(LEFT(A559,3)="B12",30,25))+B559*0.5+INT(Summary!M572*20)</f>
        <v>353</v>
      </c>
      <c r="G559">
        <f>ROUND(IF(OR(ISERROR(FIND(Summary!$P$89,CONCATENATE(C559,D559,E559))),ISERROR(FIND(Summary!$Q$89,A559))),Summary!$R$45,IF(H559&gt;Summary!$V$3,Summary!$R$46,Summary!$R$45))*(B559+30),0)</f>
        <v>7</v>
      </c>
      <c r="H559">
        <f>IF(H558&gt;Summary!$V$4,0,H558+F558)</f>
        <v>16836</v>
      </c>
      <c r="I559" s="26">
        <f>DATE(YEAR(Summary!$V$2),MONTH(Summary!$V$2),DAY(Summary!$V$2)+INT(H559/480))</f>
        <v>43625</v>
      </c>
      <c r="J559" s="27">
        <f t="shared" si="9"/>
        <v>0.35833333333333334</v>
      </c>
    </row>
    <row r="560" spans="1:10">
      <c r="A560" t="str">
        <f>VLOOKUP(Summary!M559,Summary!$P$13:$Q$24,2)</f>
        <v>B1700-plum</v>
      </c>
      <c r="B560">
        <f>ROUND(NORMINV(Summary!M561,VLOOKUP(A560,Summary!$Q$13:$S$24,3,FALSE),VLOOKUP(A560,Summary!$Q$13:$S$24,3,FALSE)/6),-1)</f>
        <v>340</v>
      </c>
      <c r="C560" t="str">
        <f>IF(AND(H560=0,C559=Summary!$P$2),Summary!$Q$2,IF(AND(H560=0,C559=Summary!$Q$2),Summary!$R$2,C559))</f>
        <v>Reed</v>
      </c>
      <c r="D560" t="str">
        <f>IF(C560=Summary!$P$26,VLOOKUP(Summary!M567,Summary!$Q$26:$R$27,2),IF('Run Data'!C560=Summary!$P$28,VLOOKUP(Summary!M567,Summary!$Q$28:$R$29,2),VLOOKUP(Summary!M567,Summary!$Q$30:$R$32,2)))</f>
        <v>Sprig 2</v>
      </c>
      <c r="E560" t="str">
        <f>VLOOKUP(Summary!M570,Summary!$P$42:$Q$43,2)</f>
        <v>86</v>
      </c>
      <c r="F560">
        <f>IF(LEFT(A560,3)="B60",20,IF(LEFT(A560,3)="B12",30,25))+B560*0.5+INT(Summary!M573*20)</f>
        <v>211</v>
      </c>
      <c r="G560">
        <f>ROUND(IF(OR(ISERROR(FIND(Summary!$P$89,CONCATENATE(C560,D560,E560))),ISERROR(FIND(Summary!$Q$89,A560))),Summary!$R$45,IF(H560&gt;Summary!$V$3,Summary!$R$46,Summary!$R$45))*(B560+30),0)</f>
        <v>4</v>
      </c>
      <c r="H560">
        <f>IF(H559&gt;Summary!$V$4,0,H559+F559)</f>
        <v>17189</v>
      </c>
      <c r="I560" s="26">
        <f>DATE(YEAR(Summary!$V$2),MONTH(Summary!$V$2),DAY(Summary!$V$2)+INT(H560/480))</f>
        <v>43625</v>
      </c>
      <c r="J560" s="27">
        <f t="shared" si="9"/>
        <v>0.60347222222222219</v>
      </c>
    </row>
    <row r="561" spans="1:10">
      <c r="A561" t="str">
        <f>VLOOKUP(Summary!M560,Summary!$P$13:$Q$24,2)</f>
        <v>B600-sky</v>
      </c>
      <c r="B561">
        <f>ROUND(NORMINV(Summary!M562,VLOOKUP(A561,Summary!$Q$13:$S$24,3,FALSE),VLOOKUP(A561,Summary!$Q$13:$S$24,3,FALSE)/6),-1)</f>
        <v>470</v>
      </c>
      <c r="C561" t="str">
        <f>IF(AND(H561=0,C560=Summary!$P$2),Summary!$Q$2,IF(AND(H561=0,C560=Summary!$Q$2),Summary!$R$2,C560))</f>
        <v>Reed</v>
      </c>
      <c r="D561" t="str">
        <f>IF(C561=Summary!$P$26,VLOOKUP(Summary!M568,Summary!$Q$26:$R$27,2),IF('Run Data'!C561=Summary!$P$28,VLOOKUP(Summary!M568,Summary!$Q$28:$R$29,2),VLOOKUP(Summary!M568,Summary!$Q$30:$R$32,2)))</f>
        <v>Sprig 2</v>
      </c>
      <c r="E561" t="str">
        <f>VLOOKUP(Summary!M571,Summary!$P$42:$Q$43,2)</f>
        <v>86</v>
      </c>
      <c r="F561">
        <f>IF(LEFT(A561,3)="B60",20,IF(LEFT(A561,3)="B12",30,25))+B561*0.5+INT(Summary!M574*20)</f>
        <v>266</v>
      </c>
      <c r="G561">
        <f>ROUND(IF(OR(ISERROR(FIND(Summary!$P$89,CONCATENATE(C561,D561,E561))),ISERROR(FIND(Summary!$Q$89,A561))),Summary!$R$45,IF(H561&gt;Summary!$V$3,Summary!$R$46,Summary!$R$45))*(B561+30),0)</f>
        <v>5</v>
      </c>
      <c r="H561">
        <f>IF(H560&gt;Summary!$V$4,0,H560+F560)</f>
        <v>17400</v>
      </c>
      <c r="I561" s="26">
        <f>DATE(YEAR(Summary!$V$2),MONTH(Summary!$V$2),DAY(Summary!$V$2)+INT(H561/480))</f>
        <v>43626</v>
      </c>
      <c r="J561" s="27">
        <f t="shared" si="9"/>
        <v>0.41666666666666669</v>
      </c>
    </row>
    <row r="562" spans="1:10">
      <c r="A562" t="str">
        <f>VLOOKUP(Summary!M561,Summary!$P$13:$Q$24,2)</f>
        <v>B1700-sky</v>
      </c>
      <c r="B562">
        <f>ROUND(NORMINV(Summary!M563,VLOOKUP(A562,Summary!$Q$13:$S$24,3,FALSE),VLOOKUP(A562,Summary!$Q$13:$S$24,3,FALSE)/6),-1)</f>
        <v>630</v>
      </c>
      <c r="C562" t="str">
        <f>IF(AND(H562=0,C561=Summary!$P$2),Summary!$Q$2,IF(AND(H562=0,C561=Summary!$Q$2),Summary!$R$2,C561))</f>
        <v>Reed</v>
      </c>
      <c r="D562" t="str">
        <f>IF(C562=Summary!$P$26,VLOOKUP(Summary!M569,Summary!$Q$26:$R$27,2),IF('Run Data'!C562=Summary!$P$28,VLOOKUP(Summary!M569,Summary!$Q$28:$R$29,2),VLOOKUP(Summary!M569,Summary!$Q$30:$R$32,2)))</f>
        <v>Sprig 2</v>
      </c>
      <c r="E562" t="str">
        <f>VLOOKUP(Summary!M572,Summary!$P$42:$Q$43,2)</f>
        <v>86</v>
      </c>
      <c r="F562">
        <f>IF(LEFT(A562,3)="B60",20,IF(LEFT(A562,3)="B12",30,25))+B562*0.5+INT(Summary!M575*20)</f>
        <v>354</v>
      </c>
      <c r="G562">
        <f>ROUND(IF(OR(ISERROR(FIND(Summary!$P$89,CONCATENATE(C562,D562,E562))),ISERROR(FIND(Summary!$Q$89,A562))),Summary!$R$45,IF(H562&gt;Summary!$V$3,Summary!$R$46,Summary!$R$45))*(B562+30),0)</f>
        <v>7</v>
      </c>
      <c r="H562">
        <f>IF(H561&gt;Summary!$V$4,0,H561+F561)</f>
        <v>17666</v>
      </c>
      <c r="I562" s="26">
        <f>DATE(YEAR(Summary!$V$2),MONTH(Summary!$V$2),DAY(Summary!$V$2)+INT(H562/480))</f>
        <v>43626</v>
      </c>
      <c r="J562" s="27">
        <f t="shared" si="9"/>
        <v>0.60138888888888886</v>
      </c>
    </row>
    <row r="563" spans="1:10">
      <c r="A563" t="str">
        <f>VLOOKUP(Summary!M562,Summary!$P$13:$Q$24,2)</f>
        <v>B1200-sky</v>
      </c>
      <c r="B563">
        <f>ROUND(NORMINV(Summary!M564,VLOOKUP(A563,Summary!$Q$13:$S$24,3,FALSE),VLOOKUP(A563,Summary!$Q$13:$S$24,3,FALSE)/6),-1)</f>
        <v>1090</v>
      </c>
      <c r="C563" t="str">
        <f>IF(AND(H563=0,C562=Summary!$P$2),Summary!$Q$2,IF(AND(H563=0,C562=Summary!$Q$2),Summary!$R$2,C562))</f>
        <v>Reed</v>
      </c>
      <c r="D563" t="str">
        <f>IF(C563=Summary!$P$26,VLOOKUP(Summary!M570,Summary!$Q$26:$R$27,2),IF('Run Data'!C563=Summary!$P$28,VLOOKUP(Summary!M570,Summary!$Q$28:$R$29,2),VLOOKUP(Summary!M570,Summary!$Q$30:$R$32,2)))</f>
        <v>Sprig 2</v>
      </c>
      <c r="E563" t="str">
        <f>VLOOKUP(Summary!M573,Summary!$P$42:$Q$43,2)</f>
        <v>86</v>
      </c>
      <c r="F563">
        <f>IF(LEFT(A563,3)="B60",20,IF(LEFT(A563,3)="B12",30,25))+B563*0.5+INT(Summary!M576*20)</f>
        <v>591</v>
      </c>
      <c r="G563">
        <f>ROUND(IF(OR(ISERROR(FIND(Summary!$P$89,CONCATENATE(C563,D563,E563))),ISERROR(FIND(Summary!$Q$89,A563))),Summary!$R$45,IF(H563&gt;Summary!$V$3,Summary!$R$46,Summary!$R$45))*(B563+30),0)</f>
        <v>11</v>
      </c>
      <c r="H563">
        <f>IF(H562&gt;Summary!$V$4,0,H562+F562)</f>
        <v>18020</v>
      </c>
      <c r="I563" s="26">
        <f>DATE(YEAR(Summary!$V$2),MONTH(Summary!$V$2),DAY(Summary!$V$2)+INT(H563/480))</f>
        <v>43627</v>
      </c>
      <c r="J563" s="27">
        <f t="shared" si="9"/>
        <v>0.51388888888888895</v>
      </c>
    </row>
    <row r="564" spans="1:10">
      <c r="A564" t="str">
        <f>VLOOKUP(Summary!M563,Summary!$P$13:$Q$24,2)</f>
        <v>B1700-sky</v>
      </c>
      <c r="B564">
        <f>ROUND(NORMINV(Summary!M565,VLOOKUP(A564,Summary!$Q$13:$S$24,3,FALSE),VLOOKUP(A564,Summary!$Q$13:$S$24,3,FALSE)/6),-1)</f>
        <v>480</v>
      </c>
      <c r="C564" t="str">
        <f>IF(AND(H564=0,C563=Summary!$P$2),Summary!$Q$2,IF(AND(H564=0,C563=Summary!$Q$2),Summary!$R$2,C563))</f>
        <v>Reed</v>
      </c>
      <c r="D564" t="str">
        <f>IF(C564=Summary!$P$26,VLOOKUP(Summary!M571,Summary!$Q$26:$R$27,2),IF('Run Data'!C564=Summary!$P$28,VLOOKUP(Summary!M571,Summary!$Q$28:$R$29,2),VLOOKUP(Summary!M571,Summary!$Q$30:$R$32,2)))</f>
        <v>Sprig 2</v>
      </c>
      <c r="E564" t="str">
        <f>VLOOKUP(Summary!M574,Summary!$P$42:$Q$43,2)</f>
        <v>86</v>
      </c>
      <c r="F564">
        <f>IF(LEFT(A564,3)="B60",20,IF(LEFT(A564,3)="B12",30,25))+B564*0.5+INT(Summary!M577*20)</f>
        <v>283</v>
      </c>
      <c r="G564">
        <f>ROUND(IF(OR(ISERROR(FIND(Summary!$P$89,CONCATENATE(C564,D564,E564))),ISERROR(FIND(Summary!$Q$89,A564))),Summary!$R$45,IF(H564&gt;Summary!$V$3,Summary!$R$46,Summary!$R$45))*(B564+30),0)</f>
        <v>5</v>
      </c>
      <c r="H564">
        <f>IF(H563&gt;Summary!$V$4,0,H563+F563)</f>
        <v>18611</v>
      </c>
      <c r="I564" s="26">
        <f>DATE(YEAR(Summary!$V$2),MONTH(Summary!$V$2),DAY(Summary!$V$2)+INT(H564/480))</f>
        <v>43628</v>
      </c>
      <c r="J564" s="27">
        <f t="shared" si="9"/>
        <v>0.59097222222222223</v>
      </c>
    </row>
    <row r="565" spans="1:10">
      <c r="A565" t="str">
        <f>VLOOKUP(Summary!M564,Summary!$P$13:$Q$24,2)</f>
        <v>B1200-plum</v>
      </c>
      <c r="B565">
        <f>ROUND(NORMINV(Summary!M566,VLOOKUP(A565,Summary!$Q$13:$S$24,3,FALSE),VLOOKUP(A565,Summary!$Q$13:$S$24,3,FALSE)/6),-1)</f>
        <v>380</v>
      </c>
      <c r="C565" t="str">
        <f>IF(AND(H565=0,C564=Summary!$P$2),Summary!$Q$2,IF(AND(H565=0,C564=Summary!$Q$2),Summary!$R$2,C564))</f>
        <v>Reed</v>
      </c>
      <c r="D565" t="str">
        <f>IF(C565=Summary!$P$26,VLOOKUP(Summary!M572,Summary!$Q$26:$R$27,2),IF('Run Data'!C565=Summary!$P$28,VLOOKUP(Summary!M572,Summary!$Q$28:$R$29,2),VLOOKUP(Summary!M572,Summary!$Q$30:$R$32,2)))</f>
        <v>Sprig 2</v>
      </c>
      <c r="E565" t="str">
        <f>VLOOKUP(Summary!M575,Summary!$P$42:$Q$43,2)</f>
        <v>86</v>
      </c>
      <c r="F565">
        <f>IF(LEFT(A565,3)="B60",20,IF(LEFT(A565,3)="B12",30,25))+B565*0.5+INT(Summary!M578*20)</f>
        <v>238</v>
      </c>
      <c r="G565">
        <f>ROUND(IF(OR(ISERROR(FIND(Summary!$P$89,CONCATENATE(C565,D565,E565))),ISERROR(FIND(Summary!$Q$89,A565))),Summary!$R$45,IF(H565&gt;Summary!$V$3,Summary!$R$46,Summary!$R$45))*(B565+30),0)</f>
        <v>4</v>
      </c>
      <c r="H565">
        <f>IF(H564&gt;Summary!$V$4,0,H564+F564)</f>
        <v>18894</v>
      </c>
      <c r="I565" s="26">
        <f>DATE(YEAR(Summary!$V$2),MONTH(Summary!$V$2),DAY(Summary!$V$2)+INT(H565/480))</f>
        <v>43629</v>
      </c>
      <c r="J565" s="27">
        <f t="shared" si="9"/>
        <v>0.45416666666666666</v>
      </c>
    </row>
    <row r="566" spans="1:10">
      <c r="A566" t="str">
        <f>VLOOKUP(Summary!M565,Summary!$P$13:$Q$24,2)</f>
        <v>B600-lime</v>
      </c>
      <c r="B566">
        <f>ROUND(NORMINV(Summary!M567,VLOOKUP(A566,Summary!$Q$13:$S$24,3,FALSE),VLOOKUP(A566,Summary!$Q$13:$S$24,3,FALSE)/6),-1)</f>
        <v>290</v>
      </c>
      <c r="C566" t="str">
        <f>IF(AND(H566=0,C565=Summary!$P$2),Summary!$Q$2,IF(AND(H566=0,C565=Summary!$Q$2),Summary!$R$2,C565))</f>
        <v>Reed</v>
      </c>
      <c r="D566" t="str">
        <f>IF(C566=Summary!$P$26,VLOOKUP(Summary!M573,Summary!$Q$26:$R$27,2),IF('Run Data'!C566=Summary!$P$28,VLOOKUP(Summary!M573,Summary!$Q$28:$R$29,2),VLOOKUP(Summary!M573,Summary!$Q$30:$R$32,2)))</f>
        <v>Sprig 4</v>
      </c>
      <c r="E566" t="str">
        <f>VLOOKUP(Summary!M576,Summary!$P$42:$Q$43,2)</f>
        <v>86</v>
      </c>
      <c r="F566">
        <f>IF(LEFT(A566,3)="B60",20,IF(LEFT(A566,3)="B12",30,25))+B566*0.5+INT(Summary!M579*20)</f>
        <v>167</v>
      </c>
      <c r="G566">
        <f>ROUND(IF(OR(ISERROR(FIND(Summary!$P$89,CONCATENATE(C566,D566,E566))),ISERROR(FIND(Summary!$Q$89,A566))),Summary!$R$45,IF(H566&gt;Summary!$V$3,Summary!$R$46,Summary!$R$45))*(B566+30),0)</f>
        <v>3</v>
      </c>
      <c r="H566">
        <f>IF(H565&gt;Summary!$V$4,0,H565+F565)</f>
        <v>19132</v>
      </c>
      <c r="I566" s="26">
        <f>DATE(YEAR(Summary!$V$2),MONTH(Summary!$V$2),DAY(Summary!$V$2)+INT(H566/480))</f>
        <v>43629</v>
      </c>
      <c r="J566" s="27">
        <f t="shared" si="9"/>
        <v>0.61944444444444446</v>
      </c>
    </row>
    <row r="567" spans="1:10">
      <c r="A567" t="str">
        <f>VLOOKUP(Summary!M566,Summary!$P$13:$Q$24,2)</f>
        <v>B600-lime</v>
      </c>
      <c r="B567">
        <f>ROUND(NORMINV(Summary!M568,VLOOKUP(A567,Summary!$Q$13:$S$24,3,FALSE),VLOOKUP(A567,Summary!$Q$13:$S$24,3,FALSE)/6),-1)</f>
        <v>320</v>
      </c>
      <c r="C567" t="str">
        <f>IF(AND(H567=0,C566=Summary!$P$2),Summary!$Q$2,IF(AND(H567=0,C566=Summary!$Q$2),Summary!$R$2,C566))</f>
        <v>Reed</v>
      </c>
      <c r="D567" t="str">
        <f>IF(C567=Summary!$P$26,VLOOKUP(Summary!M574,Summary!$Q$26:$R$27,2),IF('Run Data'!C567=Summary!$P$28,VLOOKUP(Summary!M574,Summary!$Q$28:$R$29,2),VLOOKUP(Summary!M574,Summary!$Q$30:$R$32,2)))</f>
        <v>Sprig 2</v>
      </c>
      <c r="E567" t="str">
        <f>VLOOKUP(Summary!M577,Summary!$P$42:$Q$43,2)</f>
        <v>87b</v>
      </c>
      <c r="F567">
        <f>IF(LEFT(A567,3)="B60",20,IF(LEFT(A567,3)="B12",30,25))+B567*0.5+INT(Summary!M580*20)</f>
        <v>183</v>
      </c>
      <c r="G567">
        <f>ROUND(IF(OR(ISERROR(FIND(Summary!$P$89,CONCATENATE(C567,D567,E567))),ISERROR(FIND(Summary!$Q$89,A567))),Summary!$R$45,IF(H567&gt;Summary!$V$3,Summary!$R$46,Summary!$R$45))*(B567+30),0)</f>
        <v>4</v>
      </c>
      <c r="H567">
        <f>IF(H566&gt;Summary!$V$4,0,H566+F566)</f>
        <v>19299</v>
      </c>
      <c r="I567" s="26">
        <f>DATE(YEAR(Summary!$V$2),MONTH(Summary!$V$2),DAY(Summary!$V$2)+INT(H567/480))</f>
        <v>43630</v>
      </c>
      <c r="J567" s="27">
        <f t="shared" si="9"/>
        <v>0.40208333333333335</v>
      </c>
    </row>
    <row r="568" spans="1:10">
      <c r="A568" t="str">
        <f>VLOOKUP(Summary!M567,Summary!$P$13:$Q$24,2)</f>
        <v>B1200-sky</v>
      </c>
      <c r="B568">
        <f>ROUND(NORMINV(Summary!M569,VLOOKUP(A568,Summary!$Q$13:$S$24,3,FALSE),VLOOKUP(A568,Summary!$Q$13:$S$24,3,FALSE)/6),-1)</f>
        <v>1350</v>
      </c>
      <c r="C568" t="str">
        <f>IF(AND(H568=0,C567=Summary!$P$2),Summary!$Q$2,IF(AND(H568=0,C567=Summary!$Q$2),Summary!$R$2,C567))</f>
        <v>Reed</v>
      </c>
      <c r="D568" t="str">
        <f>IF(C568=Summary!$P$26,VLOOKUP(Summary!M575,Summary!$Q$26:$R$27,2),IF('Run Data'!C568=Summary!$P$28,VLOOKUP(Summary!M575,Summary!$Q$28:$R$29,2),VLOOKUP(Summary!M575,Summary!$Q$30:$R$32,2)))</f>
        <v>Sprig 2</v>
      </c>
      <c r="E568" t="str">
        <f>VLOOKUP(Summary!M578,Summary!$P$42:$Q$43,2)</f>
        <v>87b</v>
      </c>
      <c r="F568">
        <f>IF(LEFT(A568,3)="B60",20,IF(LEFT(A568,3)="B12",30,25))+B568*0.5+INT(Summary!M581*20)</f>
        <v>721</v>
      </c>
      <c r="G568">
        <f>ROUND(IF(OR(ISERROR(FIND(Summary!$P$89,CONCATENATE(C568,D568,E568))),ISERROR(FIND(Summary!$Q$89,A568))),Summary!$R$45,IF(H568&gt;Summary!$V$3,Summary!$R$46,Summary!$R$45))*(B568+30),0)</f>
        <v>14</v>
      </c>
      <c r="H568">
        <f>IF(H567&gt;Summary!$V$4,0,H567+F567)</f>
        <v>19482</v>
      </c>
      <c r="I568" s="26">
        <f>DATE(YEAR(Summary!$V$2),MONTH(Summary!$V$2),DAY(Summary!$V$2)+INT(H568/480))</f>
        <v>43630</v>
      </c>
      <c r="J568" s="27">
        <f t="shared" si="9"/>
        <v>0.52916666666666667</v>
      </c>
    </row>
    <row r="569" spans="1:10">
      <c r="A569" t="str">
        <f>VLOOKUP(Summary!M568,Summary!$P$13:$Q$24,2)</f>
        <v>B1200-lime</v>
      </c>
      <c r="B569">
        <f>ROUND(NORMINV(Summary!M570,VLOOKUP(A569,Summary!$Q$13:$S$24,3,FALSE),VLOOKUP(A569,Summary!$Q$13:$S$24,3,FALSE)/6),-1)</f>
        <v>780</v>
      </c>
      <c r="C569" t="str">
        <f>IF(AND(H569=0,C568=Summary!$P$2),Summary!$Q$2,IF(AND(H569=0,C568=Summary!$Q$2),Summary!$R$2,C568))</f>
        <v>Reed</v>
      </c>
      <c r="D569" t="str">
        <f>IF(C569=Summary!$P$26,VLOOKUP(Summary!M576,Summary!$Q$26:$R$27,2),IF('Run Data'!C569=Summary!$P$28,VLOOKUP(Summary!M576,Summary!$Q$28:$R$29,2),VLOOKUP(Summary!M576,Summary!$Q$30:$R$32,2)))</f>
        <v>Sprig 4</v>
      </c>
      <c r="E569" t="str">
        <f>VLOOKUP(Summary!M579,Summary!$P$42:$Q$43,2)</f>
        <v>86</v>
      </c>
      <c r="F569">
        <f>IF(LEFT(A569,3)="B60",20,IF(LEFT(A569,3)="B12",30,25))+B569*0.5+INT(Summary!M582*20)</f>
        <v>431</v>
      </c>
      <c r="G569">
        <f>ROUND(IF(OR(ISERROR(FIND(Summary!$P$89,CONCATENATE(C569,D569,E569))),ISERROR(FIND(Summary!$Q$89,A569))),Summary!$R$45,IF(H569&gt;Summary!$V$3,Summary!$R$46,Summary!$R$45))*(B569+30),0)</f>
        <v>8</v>
      </c>
      <c r="H569">
        <f>IF(H568&gt;Summary!$V$4,0,H568+F568)</f>
        <v>20203</v>
      </c>
      <c r="I569" s="26">
        <f>DATE(YEAR(Summary!$V$2),MONTH(Summary!$V$2),DAY(Summary!$V$2)+INT(H569/480))</f>
        <v>43632</v>
      </c>
      <c r="J569" s="27">
        <f t="shared" si="9"/>
        <v>0.36319444444444443</v>
      </c>
    </row>
    <row r="570" spans="1:10">
      <c r="A570" t="str">
        <f>VLOOKUP(Summary!M569,Summary!$P$13:$Q$24,2)</f>
        <v>B1700-plum</v>
      </c>
      <c r="B570">
        <f>ROUND(NORMINV(Summary!M571,VLOOKUP(A570,Summary!$Q$13:$S$24,3,FALSE),VLOOKUP(A570,Summary!$Q$13:$S$24,3,FALSE)/6),-1)</f>
        <v>300</v>
      </c>
      <c r="C570" t="str">
        <f>IF(AND(H570=0,C569=Summary!$P$2),Summary!$Q$2,IF(AND(H570=0,C569=Summary!$Q$2),Summary!$R$2,C569))</f>
        <v>Reed</v>
      </c>
      <c r="D570" t="str">
        <f>IF(C570=Summary!$P$26,VLOOKUP(Summary!M577,Summary!$Q$26:$R$27,2),IF('Run Data'!C570=Summary!$P$28,VLOOKUP(Summary!M577,Summary!$Q$28:$R$29,2),VLOOKUP(Summary!M577,Summary!$Q$30:$R$32,2)))</f>
        <v>Sprig 4</v>
      </c>
      <c r="E570" t="str">
        <f>VLOOKUP(Summary!M580,Summary!$P$42:$Q$43,2)</f>
        <v>86</v>
      </c>
      <c r="F570">
        <f>IF(LEFT(A570,3)="B60",20,IF(LEFT(A570,3)="B12",30,25))+B570*0.5+INT(Summary!M583*20)</f>
        <v>176</v>
      </c>
      <c r="G570">
        <f>ROUND(IF(OR(ISERROR(FIND(Summary!$P$89,CONCATENATE(C570,D570,E570))),ISERROR(FIND(Summary!$Q$89,A570))),Summary!$R$45,IF(H570&gt;Summary!$V$3,Summary!$R$46,Summary!$R$45))*(B570+30),0)</f>
        <v>3</v>
      </c>
      <c r="H570">
        <f>IF(H569&gt;Summary!$V$4,0,H569+F569)</f>
        <v>20634</v>
      </c>
      <c r="I570" s="26">
        <f>DATE(YEAR(Summary!$V$2),MONTH(Summary!$V$2),DAY(Summary!$V$2)+INT(H570/480))</f>
        <v>43632</v>
      </c>
      <c r="J570" s="27">
        <f t="shared" si="9"/>
        <v>0.66249999999999998</v>
      </c>
    </row>
    <row r="571" spans="1:10">
      <c r="A571" t="str">
        <f>VLOOKUP(Summary!M570,Summary!$P$13:$Q$24,2)</f>
        <v>B1200-sky</v>
      </c>
      <c r="B571">
        <f>ROUND(NORMINV(Summary!M572,VLOOKUP(A571,Summary!$Q$13:$S$24,3,FALSE),VLOOKUP(A571,Summary!$Q$13:$S$24,3,FALSE)/6),-1)</f>
        <v>1150</v>
      </c>
      <c r="C571" t="str">
        <f>IF(AND(H571=0,C570=Summary!$P$2),Summary!$Q$2,IF(AND(H571=0,C570=Summary!$Q$2),Summary!$R$2,C570))</f>
        <v>Reed</v>
      </c>
      <c r="D571" t="str">
        <f>IF(C571=Summary!$P$26,VLOOKUP(Summary!M578,Summary!$Q$26:$R$27,2),IF('Run Data'!C571=Summary!$P$28,VLOOKUP(Summary!M578,Summary!$Q$28:$R$29,2),VLOOKUP(Summary!M578,Summary!$Q$30:$R$32,2)))</f>
        <v>Sprig 4</v>
      </c>
      <c r="E571" t="str">
        <f>VLOOKUP(Summary!M581,Summary!$P$42:$Q$43,2)</f>
        <v>86</v>
      </c>
      <c r="F571">
        <f>IF(LEFT(A571,3)="B60",20,IF(LEFT(A571,3)="B12",30,25))+B571*0.5+INT(Summary!M584*20)</f>
        <v>608</v>
      </c>
      <c r="G571">
        <f>ROUND(IF(OR(ISERROR(FIND(Summary!$P$89,CONCATENATE(C571,D571,E571))),ISERROR(FIND(Summary!$Q$89,A571))),Summary!$R$45,IF(H571&gt;Summary!$V$3,Summary!$R$46,Summary!$R$45))*(B571+30),0)</f>
        <v>12</v>
      </c>
      <c r="H571">
        <f>IF(H570&gt;Summary!$V$4,0,H570+F570)</f>
        <v>20810</v>
      </c>
      <c r="I571" s="26">
        <f>DATE(YEAR(Summary!$V$2),MONTH(Summary!$V$2),DAY(Summary!$V$2)+INT(H571/480))</f>
        <v>43633</v>
      </c>
      <c r="J571" s="27">
        <f t="shared" si="9"/>
        <v>0.4513888888888889</v>
      </c>
    </row>
    <row r="572" spans="1:10">
      <c r="A572" t="str">
        <f>VLOOKUP(Summary!M571,Summary!$P$13:$Q$24,2)</f>
        <v>B1200-fire</v>
      </c>
      <c r="B572">
        <f>ROUND(NORMINV(Summary!M573,VLOOKUP(A572,Summary!$Q$13:$S$24,3,FALSE),VLOOKUP(A572,Summary!$Q$13:$S$24,3,FALSE)/6),-1)</f>
        <v>1380</v>
      </c>
      <c r="C572" t="str">
        <f>IF(AND(H572=0,C571=Summary!$P$2),Summary!$Q$2,IF(AND(H572=0,C571=Summary!$Q$2),Summary!$R$2,C571))</f>
        <v>Reed</v>
      </c>
      <c r="D572" t="str">
        <f>IF(C572=Summary!$P$26,VLOOKUP(Summary!M579,Summary!$Q$26:$R$27,2),IF('Run Data'!C572=Summary!$P$28,VLOOKUP(Summary!M579,Summary!$Q$28:$R$29,2),VLOOKUP(Summary!M579,Summary!$Q$30:$R$32,2)))</f>
        <v>Sprig 2</v>
      </c>
      <c r="E572" t="str">
        <f>VLOOKUP(Summary!M582,Summary!$P$42:$Q$43,2)</f>
        <v>86</v>
      </c>
      <c r="F572">
        <f>IF(LEFT(A572,3)="B60",20,IF(LEFT(A572,3)="B12",30,25))+B572*0.5+INT(Summary!M585*20)</f>
        <v>722</v>
      </c>
      <c r="G572">
        <f>ROUND(IF(OR(ISERROR(FIND(Summary!$P$89,CONCATENATE(C572,D572,E572))),ISERROR(FIND(Summary!$Q$89,A572))),Summary!$R$45,IF(H572&gt;Summary!$V$3,Summary!$R$46,Summary!$R$45))*(B572+30),0)</f>
        <v>14</v>
      </c>
      <c r="H572">
        <f>IF(H571&gt;Summary!$V$4,0,H571+F571)</f>
        <v>21418</v>
      </c>
      <c r="I572" s="26">
        <f>DATE(YEAR(Summary!$V$2),MONTH(Summary!$V$2),DAY(Summary!$V$2)+INT(H572/480))</f>
        <v>43634</v>
      </c>
      <c r="J572" s="27">
        <f t="shared" si="9"/>
        <v>0.54027777777777775</v>
      </c>
    </row>
    <row r="573" spans="1:10">
      <c r="A573" t="str">
        <f>VLOOKUP(Summary!M572,Summary!$P$13:$Q$24,2)</f>
        <v>B1200-sky</v>
      </c>
      <c r="B573">
        <f>ROUND(NORMINV(Summary!M574,VLOOKUP(A573,Summary!$Q$13:$S$24,3,FALSE),VLOOKUP(A573,Summary!$Q$13:$S$24,3,FALSE)/6),-1)</f>
        <v>1230</v>
      </c>
      <c r="C573" t="str">
        <f>IF(AND(H573=0,C572=Summary!$P$2),Summary!$Q$2,IF(AND(H573=0,C572=Summary!$Q$2),Summary!$R$2,C572))</f>
        <v>Reed</v>
      </c>
      <c r="D573" t="str">
        <f>IF(C573=Summary!$P$26,VLOOKUP(Summary!M580,Summary!$Q$26:$R$27,2),IF('Run Data'!C573=Summary!$P$28,VLOOKUP(Summary!M580,Summary!$Q$28:$R$29,2),VLOOKUP(Summary!M580,Summary!$Q$30:$R$32,2)))</f>
        <v>Sprig 2</v>
      </c>
      <c r="E573" t="str">
        <f>VLOOKUP(Summary!M583,Summary!$P$42:$Q$43,2)</f>
        <v>86</v>
      </c>
      <c r="F573">
        <f>IF(LEFT(A573,3)="B60",20,IF(LEFT(A573,3)="B12",30,25))+B573*0.5+INT(Summary!M586*20)</f>
        <v>654</v>
      </c>
      <c r="G573">
        <f>ROUND(IF(OR(ISERROR(FIND(Summary!$P$89,CONCATENATE(C573,D573,E573))),ISERROR(FIND(Summary!$Q$89,A573))),Summary!$R$45,IF(H573&gt;Summary!$V$3,Summary!$R$46,Summary!$R$45))*(B573+30),0)</f>
        <v>13</v>
      </c>
      <c r="H573">
        <f>IF(H572&gt;Summary!$V$4,0,H572+F572)</f>
        <v>22140</v>
      </c>
      <c r="I573" s="26">
        <f>DATE(YEAR(Summary!$V$2),MONTH(Summary!$V$2),DAY(Summary!$V$2)+INT(H573/480))</f>
        <v>43636</v>
      </c>
      <c r="J573" s="27">
        <f t="shared" si="9"/>
        <v>0.375</v>
      </c>
    </row>
    <row r="574" spans="1:10">
      <c r="A574" t="str">
        <f>VLOOKUP(Summary!M573,Summary!$P$13:$Q$24,2)</f>
        <v>B1700-sky</v>
      </c>
      <c r="B574">
        <f>ROUND(NORMINV(Summary!M575,VLOOKUP(A574,Summary!$Q$13:$S$24,3,FALSE),VLOOKUP(A574,Summary!$Q$13:$S$24,3,FALSE)/6),-1)</f>
        <v>610</v>
      </c>
      <c r="C574" t="str">
        <f>IF(AND(H574=0,C573=Summary!$P$2),Summary!$Q$2,IF(AND(H574=0,C573=Summary!$Q$2),Summary!$R$2,C573))</f>
        <v>Reed</v>
      </c>
      <c r="D574" t="str">
        <f>IF(C574=Summary!$P$26,VLOOKUP(Summary!M581,Summary!$Q$26:$R$27,2),IF('Run Data'!C574=Summary!$P$28,VLOOKUP(Summary!M581,Summary!$Q$28:$R$29,2),VLOOKUP(Summary!M581,Summary!$Q$30:$R$32,2)))</f>
        <v>Sprig 4</v>
      </c>
      <c r="E574" t="str">
        <f>VLOOKUP(Summary!M584,Summary!$P$42:$Q$43,2)</f>
        <v>86</v>
      </c>
      <c r="F574">
        <f>IF(LEFT(A574,3)="B60",20,IF(LEFT(A574,3)="B12",30,25))+B574*0.5+INT(Summary!M587*20)</f>
        <v>338</v>
      </c>
      <c r="G574">
        <f>ROUND(IF(OR(ISERROR(FIND(Summary!$P$89,CONCATENATE(C574,D574,E574))),ISERROR(FIND(Summary!$Q$89,A574))),Summary!$R$45,IF(H574&gt;Summary!$V$3,Summary!$R$46,Summary!$R$45))*(B574+30),0)</f>
        <v>6</v>
      </c>
      <c r="H574">
        <f>IF(H573&gt;Summary!$V$4,0,H573+F573)</f>
        <v>22794</v>
      </c>
      <c r="I574" s="26">
        <f>DATE(YEAR(Summary!$V$2),MONTH(Summary!$V$2),DAY(Summary!$V$2)+INT(H574/480))</f>
        <v>43637</v>
      </c>
      <c r="J574" s="27">
        <f t="shared" si="9"/>
        <v>0.49583333333333335</v>
      </c>
    </row>
    <row r="575" spans="1:10">
      <c r="A575" t="str">
        <f>VLOOKUP(Summary!M574,Summary!$P$13:$Q$24,2)</f>
        <v>B1200-lime</v>
      </c>
      <c r="B575">
        <f>ROUND(NORMINV(Summary!M576,VLOOKUP(A575,Summary!$Q$13:$S$24,3,FALSE),VLOOKUP(A575,Summary!$Q$13:$S$24,3,FALSE)/6),-1)</f>
        <v>930</v>
      </c>
      <c r="C575" t="str">
        <f>IF(AND(H575=0,C574=Summary!$P$2),Summary!$Q$2,IF(AND(H575=0,C574=Summary!$Q$2),Summary!$R$2,C574))</f>
        <v>Reed</v>
      </c>
      <c r="D575" t="str">
        <f>IF(C575=Summary!$P$26,VLOOKUP(Summary!M582,Summary!$Q$26:$R$27,2),IF('Run Data'!C575=Summary!$P$28,VLOOKUP(Summary!M582,Summary!$Q$28:$R$29,2),VLOOKUP(Summary!M582,Summary!$Q$30:$R$32,2)))</f>
        <v>Sprig 2</v>
      </c>
      <c r="E575" t="str">
        <f>VLOOKUP(Summary!M585,Summary!$P$42:$Q$43,2)</f>
        <v>86</v>
      </c>
      <c r="F575">
        <f>IF(LEFT(A575,3)="B60",20,IF(LEFT(A575,3)="B12",30,25))+B575*0.5+INT(Summary!M588*20)</f>
        <v>512</v>
      </c>
      <c r="G575">
        <f>ROUND(IF(OR(ISERROR(FIND(Summary!$P$89,CONCATENATE(C575,D575,E575))),ISERROR(FIND(Summary!$Q$89,A575))),Summary!$R$45,IF(H575&gt;Summary!$V$3,Summary!$R$46,Summary!$R$45))*(B575+30),0)</f>
        <v>10</v>
      </c>
      <c r="H575">
        <f>IF(H574&gt;Summary!$V$4,0,H574+F574)</f>
        <v>23132</v>
      </c>
      <c r="I575" s="26">
        <f>DATE(YEAR(Summary!$V$2),MONTH(Summary!$V$2),DAY(Summary!$V$2)+INT(H575/480))</f>
        <v>43638</v>
      </c>
      <c r="J575" s="27">
        <f t="shared" si="9"/>
        <v>0.3972222222222222</v>
      </c>
    </row>
    <row r="576" spans="1:10">
      <c r="A576" t="str">
        <f>VLOOKUP(Summary!M575,Summary!$P$13:$Q$24,2)</f>
        <v>B1700-plum</v>
      </c>
      <c r="B576">
        <f>ROUND(NORMINV(Summary!M577,VLOOKUP(A576,Summary!$Q$13:$S$24,3,FALSE),VLOOKUP(A576,Summary!$Q$13:$S$24,3,FALSE)/6),-1)</f>
        <v>370</v>
      </c>
      <c r="C576" t="str">
        <f>IF(AND(H576=0,C575=Summary!$P$2),Summary!$Q$2,IF(AND(H576=0,C575=Summary!$Q$2),Summary!$R$2,C575))</f>
        <v>Reed</v>
      </c>
      <c r="D576" t="str">
        <f>IF(C576=Summary!$P$26,VLOOKUP(Summary!M583,Summary!$Q$26:$R$27,2),IF('Run Data'!C576=Summary!$P$28,VLOOKUP(Summary!M583,Summary!$Q$28:$R$29,2),VLOOKUP(Summary!M583,Summary!$Q$30:$R$32,2)))</f>
        <v>Sprig 2</v>
      </c>
      <c r="E576" t="str">
        <f>VLOOKUP(Summary!M586,Summary!$P$42:$Q$43,2)</f>
        <v>86</v>
      </c>
      <c r="F576">
        <f>IF(LEFT(A576,3)="B60",20,IF(LEFT(A576,3)="B12",30,25))+B576*0.5+INT(Summary!M589*20)</f>
        <v>216</v>
      </c>
      <c r="G576">
        <f>ROUND(IF(OR(ISERROR(FIND(Summary!$P$89,CONCATENATE(C576,D576,E576))),ISERROR(FIND(Summary!$Q$89,A576))),Summary!$R$45,IF(H576&gt;Summary!$V$3,Summary!$R$46,Summary!$R$45))*(B576+30),0)</f>
        <v>4</v>
      </c>
      <c r="H576">
        <f>IF(H575&gt;Summary!$V$4,0,H575+F575)</f>
        <v>23644</v>
      </c>
      <c r="I576" s="26">
        <f>DATE(YEAR(Summary!$V$2),MONTH(Summary!$V$2),DAY(Summary!$V$2)+INT(H576/480))</f>
        <v>43639</v>
      </c>
      <c r="J576" s="27">
        <f t="shared" si="9"/>
        <v>0.41944444444444445</v>
      </c>
    </row>
    <row r="577" spans="1:10">
      <c r="A577" t="str">
        <f>VLOOKUP(Summary!M576,Summary!$P$13:$Q$24,2)</f>
        <v>B1700-sky</v>
      </c>
      <c r="B577">
        <f>ROUND(NORMINV(Summary!M578,VLOOKUP(A577,Summary!$Q$13:$S$24,3,FALSE),VLOOKUP(A577,Summary!$Q$13:$S$24,3,FALSE)/6),-1)</f>
        <v>680</v>
      </c>
      <c r="C577" t="str">
        <f>IF(AND(H577=0,C576=Summary!$P$2),Summary!$Q$2,IF(AND(H577=0,C576=Summary!$Q$2),Summary!$R$2,C576))</f>
        <v>Reed</v>
      </c>
      <c r="D577" t="str">
        <f>IF(C577=Summary!$P$26,VLOOKUP(Summary!M584,Summary!$Q$26:$R$27,2),IF('Run Data'!C577=Summary!$P$28,VLOOKUP(Summary!M584,Summary!$Q$28:$R$29,2),VLOOKUP(Summary!M584,Summary!$Q$30:$R$32,2)))</f>
        <v>Sprig 2</v>
      </c>
      <c r="E577" t="str">
        <f>VLOOKUP(Summary!M587,Summary!$P$42:$Q$43,2)</f>
        <v>86</v>
      </c>
      <c r="F577">
        <f>IF(LEFT(A577,3)="B60",20,IF(LEFT(A577,3)="B12",30,25))+B577*0.5+INT(Summary!M590*20)</f>
        <v>373</v>
      </c>
      <c r="G577">
        <f>ROUND(IF(OR(ISERROR(FIND(Summary!$P$89,CONCATENATE(C577,D577,E577))),ISERROR(FIND(Summary!$Q$89,A577))),Summary!$R$45,IF(H577&gt;Summary!$V$3,Summary!$R$46,Summary!$R$45))*(B577+30),0)</f>
        <v>7</v>
      </c>
      <c r="H577">
        <f>IF(H576&gt;Summary!$V$4,0,H576+F576)</f>
        <v>23860</v>
      </c>
      <c r="I577" s="26">
        <f>DATE(YEAR(Summary!$V$2),MONTH(Summary!$V$2),DAY(Summary!$V$2)+INT(H577/480))</f>
        <v>43639</v>
      </c>
      <c r="J577" s="27">
        <f t="shared" si="9"/>
        <v>0.56944444444444442</v>
      </c>
    </row>
    <row r="578" spans="1:10">
      <c r="A578" t="str">
        <f>VLOOKUP(Summary!M577,Summary!$P$13:$Q$24,2)</f>
        <v>B1700-lime</v>
      </c>
      <c r="B578">
        <f>ROUND(NORMINV(Summary!M579,VLOOKUP(A578,Summary!$Q$13:$S$24,3,FALSE),VLOOKUP(A578,Summary!$Q$13:$S$24,3,FALSE)/6),-1)</f>
        <v>330</v>
      </c>
      <c r="C578" t="str">
        <f>IF(AND(H578=0,C577=Summary!$P$2),Summary!$Q$2,IF(AND(H578=0,C577=Summary!$Q$2),Summary!$R$2,C577))</f>
        <v>Reed</v>
      </c>
      <c r="D578" t="str">
        <f>IF(C578=Summary!$P$26,VLOOKUP(Summary!M585,Summary!$Q$26:$R$27,2),IF('Run Data'!C578=Summary!$P$28,VLOOKUP(Summary!M585,Summary!$Q$28:$R$29,2),VLOOKUP(Summary!M585,Summary!$Q$30:$R$32,2)))</f>
        <v>Sprig 2</v>
      </c>
      <c r="E578" t="str">
        <f>VLOOKUP(Summary!M588,Summary!$P$42:$Q$43,2)</f>
        <v>87b</v>
      </c>
      <c r="F578">
        <f>IF(LEFT(A578,3)="B60",20,IF(LEFT(A578,3)="B12",30,25))+B578*0.5+INT(Summary!M591*20)</f>
        <v>197</v>
      </c>
      <c r="G578">
        <f>ROUND(IF(OR(ISERROR(FIND(Summary!$P$89,CONCATENATE(C578,D578,E578))),ISERROR(FIND(Summary!$Q$89,A578))),Summary!$R$45,IF(H578&gt;Summary!$V$3,Summary!$R$46,Summary!$R$45))*(B578+30),0)</f>
        <v>4</v>
      </c>
      <c r="H578">
        <f>IF(H577&gt;Summary!$V$4,0,H577+F577)</f>
        <v>24233</v>
      </c>
      <c r="I578" s="26">
        <f>DATE(YEAR(Summary!$V$2),MONTH(Summary!$V$2),DAY(Summary!$V$2)+INT(H578/480))</f>
        <v>43640</v>
      </c>
      <c r="J578" s="27">
        <f t="shared" si="9"/>
        <v>0.49513888888888885</v>
      </c>
    </row>
    <row r="579" spans="1:10">
      <c r="A579" t="str">
        <f>VLOOKUP(Summary!M578,Summary!$P$13:$Q$24,2)</f>
        <v>B1700-lime</v>
      </c>
      <c r="B579">
        <f>ROUND(NORMINV(Summary!M580,VLOOKUP(A579,Summary!$Q$13:$S$24,3,FALSE),VLOOKUP(A579,Summary!$Q$13:$S$24,3,FALSE)/6),-1)</f>
        <v>330</v>
      </c>
      <c r="C579" t="str">
        <f>IF(AND(H579=0,C578=Summary!$P$2),Summary!$Q$2,IF(AND(H579=0,C578=Summary!$Q$2),Summary!$R$2,C578))</f>
        <v>Reed</v>
      </c>
      <c r="D579" t="str">
        <f>IF(C579=Summary!$P$26,VLOOKUP(Summary!M586,Summary!$Q$26:$R$27,2),IF('Run Data'!C579=Summary!$P$28,VLOOKUP(Summary!M586,Summary!$Q$28:$R$29,2),VLOOKUP(Summary!M586,Summary!$Q$30:$R$32,2)))</f>
        <v>Sprig 2</v>
      </c>
      <c r="E579" t="str">
        <f>VLOOKUP(Summary!M589,Summary!$P$42:$Q$43,2)</f>
        <v>86</v>
      </c>
      <c r="F579">
        <f>IF(LEFT(A579,3)="B60",20,IF(LEFT(A579,3)="B12",30,25))+B579*0.5+INT(Summary!M592*20)</f>
        <v>207</v>
      </c>
      <c r="G579">
        <f>ROUND(IF(OR(ISERROR(FIND(Summary!$P$89,CONCATENATE(C579,D579,E579))),ISERROR(FIND(Summary!$Q$89,A579))),Summary!$R$45,IF(H579&gt;Summary!$V$3,Summary!$R$46,Summary!$R$45))*(B579+30),0)</f>
        <v>4</v>
      </c>
      <c r="H579">
        <f>IF(H578&gt;Summary!$V$4,0,H578+F578)</f>
        <v>24430</v>
      </c>
      <c r="I579" s="26">
        <f>DATE(YEAR(Summary!$V$2),MONTH(Summary!$V$2),DAY(Summary!$V$2)+INT(H579/480))</f>
        <v>43640</v>
      </c>
      <c r="J579" s="27">
        <f t="shared" si="9"/>
        <v>0.63194444444444442</v>
      </c>
    </row>
    <row r="580" spans="1:10">
      <c r="A580" t="str">
        <f>VLOOKUP(Summary!M579,Summary!$P$13:$Q$24,2)</f>
        <v>B600-fire</v>
      </c>
      <c r="B580">
        <f>ROUND(NORMINV(Summary!M581,VLOOKUP(A580,Summary!$Q$13:$S$24,3,FALSE),VLOOKUP(A580,Summary!$Q$13:$S$24,3,FALSE)/6),-1)</f>
        <v>460</v>
      </c>
      <c r="C580" t="str">
        <f>IF(AND(H580=0,C579=Summary!$P$2),Summary!$Q$2,IF(AND(H580=0,C579=Summary!$Q$2),Summary!$R$2,C579))</f>
        <v>Reed</v>
      </c>
      <c r="D580" t="str">
        <f>IF(C580=Summary!$P$26,VLOOKUP(Summary!M587,Summary!$Q$26:$R$27,2),IF('Run Data'!C580=Summary!$P$28,VLOOKUP(Summary!M587,Summary!$Q$28:$R$29,2),VLOOKUP(Summary!M587,Summary!$Q$30:$R$32,2)))</f>
        <v>Sprig 2</v>
      </c>
      <c r="E580" t="str">
        <f>VLOOKUP(Summary!M590,Summary!$P$42:$Q$43,2)</f>
        <v>86</v>
      </c>
      <c r="F580">
        <f>IF(LEFT(A580,3)="B60",20,IF(LEFT(A580,3)="B12",30,25))+B580*0.5+INT(Summary!M593*20)</f>
        <v>264</v>
      </c>
      <c r="G580">
        <f>ROUND(IF(OR(ISERROR(FIND(Summary!$P$89,CONCATENATE(C580,D580,E580))),ISERROR(FIND(Summary!$Q$89,A580))),Summary!$R$45,IF(H580&gt;Summary!$V$3,Summary!$R$46,Summary!$R$45))*(B580+30),0)</f>
        <v>5</v>
      </c>
      <c r="H580">
        <f>IF(H579&gt;Summary!$V$4,0,H579+F579)</f>
        <v>24637</v>
      </c>
      <c r="I580" s="26">
        <f>DATE(YEAR(Summary!$V$2),MONTH(Summary!$V$2),DAY(Summary!$V$2)+INT(H580/480))</f>
        <v>43641</v>
      </c>
      <c r="J580" s="27">
        <f t="shared" si="9"/>
        <v>0.44236111111111115</v>
      </c>
    </row>
    <row r="581" spans="1:10">
      <c r="A581" t="str">
        <f>VLOOKUP(Summary!M580,Summary!$P$13:$Q$24,2)</f>
        <v>B600-fire</v>
      </c>
      <c r="B581">
        <f>ROUND(NORMINV(Summary!M582,VLOOKUP(A581,Summary!$Q$13:$S$24,3,FALSE),VLOOKUP(A581,Summary!$Q$13:$S$24,3,FALSE)/6),-1)</f>
        <v>410</v>
      </c>
      <c r="C581" t="str">
        <f>IF(AND(H581=0,C580=Summary!$P$2),Summary!$Q$2,IF(AND(H581=0,C580=Summary!$Q$2),Summary!$R$2,C580))</f>
        <v>Reed</v>
      </c>
      <c r="D581" t="str">
        <f>IF(C581=Summary!$P$26,VLOOKUP(Summary!M588,Summary!$Q$26:$R$27,2),IF('Run Data'!C581=Summary!$P$28,VLOOKUP(Summary!M588,Summary!$Q$28:$R$29,2),VLOOKUP(Summary!M588,Summary!$Q$30:$R$32,2)))</f>
        <v>Sprig 4</v>
      </c>
      <c r="E581" t="str">
        <f>VLOOKUP(Summary!M591,Summary!$P$42:$Q$43,2)</f>
        <v>86</v>
      </c>
      <c r="F581">
        <f>IF(LEFT(A581,3)="B60",20,IF(LEFT(A581,3)="B12",30,25))+B581*0.5+INT(Summary!M594*20)</f>
        <v>237</v>
      </c>
      <c r="G581">
        <f>ROUND(IF(OR(ISERROR(FIND(Summary!$P$89,CONCATENATE(C581,D581,E581))),ISERROR(FIND(Summary!$Q$89,A581))),Summary!$R$45,IF(H581&gt;Summary!$V$3,Summary!$R$46,Summary!$R$45))*(B581+30),0)</f>
        <v>4</v>
      </c>
      <c r="H581">
        <f>IF(H580&gt;Summary!$V$4,0,H580+F580)</f>
        <v>24901</v>
      </c>
      <c r="I581" s="26">
        <f>DATE(YEAR(Summary!$V$2),MONTH(Summary!$V$2),DAY(Summary!$V$2)+INT(H581/480))</f>
        <v>43641</v>
      </c>
      <c r="J581" s="27">
        <f t="shared" si="9"/>
        <v>0.62569444444444444</v>
      </c>
    </row>
    <row r="582" spans="1:10">
      <c r="A582" t="str">
        <f>VLOOKUP(Summary!M581,Summary!$P$13:$Q$24,2)</f>
        <v>B1700-sky</v>
      </c>
      <c r="B582">
        <f>ROUND(NORMINV(Summary!M583,VLOOKUP(A582,Summary!$Q$13:$S$24,3,FALSE),VLOOKUP(A582,Summary!$Q$13:$S$24,3,FALSE)/6),-1)</f>
        <v>430</v>
      </c>
      <c r="C582" t="str">
        <f>IF(AND(H582=0,C581=Summary!$P$2),Summary!$Q$2,IF(AND(H582=0,C581=Summary!$Q$2),Summary!$R$2,C581))</f>
        <v>Reed</v>
      </c>
      <c r="D582" t="str">
        <f>IF(C582=Summary!$P$26,VLOOKUP(Summary!M589,Summary!$Q$26:$R$27,2),IF('Run Data'!C582=Summary!$P$28,VLOOKUP(Summary!M589,Summary!$Q$28:$R$29,2),VLOOKUP(Summary!M589,Summary!$Q$30:$R$32,2)))</f>
        <v>Sprig 2</v>
      </c>
      <c r="E582" t="str">
        <f>VLOOKUP(Summary!M592,Summary!$P$42:$Q$43,2)</f>
        <v>87b</v>
      </c>
      <c r="F582">
        <f>IF(LEFT(A582,3)="B60",20,IF(LEFT(A582,3)="B12",30,25))+B582*0.5+INT(Summary!M595*20)</f>
        <v>248</v>
      </c>
      <c r="G582">
        <f>ROUND(IF(OR(ISERROR(FIND(Summary!$P$89,CONCATENATE(C582,D582,E582))),ISERROR(FIND(Summary!$Q$89,A582))),Summary!$R$45,IF(H582&gt;Summary!$V$3,Summary!$R$46,Summary!$R$45))*(B582+30),0)</f>
        <v>5</v>
      </c>
      <c r="H582">
        <f>IF(H581&gt;Summary!$V$4,0,H581+F581)</f>
        <v>25138</v>
      </c>
      <c r="I582" s="26">
        <f>DATE(YEAR(Summary!$V$2),MONTH(Summary!$V$2),DAY(Summary!$V$2)+INT(H582/480))</f>
        <v>43642</v>
      </c>
      <c r="J582" s="27">
        <f t="shared" si="9"/>
        <v>0.45694444444444443</v>
      </c>
    </row>
    <row r="583" spans="1:10">
      <c r="A583" t="str">
        <f>VLOOKUP(Summary!M582,Summary!$P$13:$Q$24,2)</f>
        <v>B1200-lime</v>
      </c>
      <c r="B583">
        <f>ROUND(NORMINV(Summary!M584,VLOOKUP(A583,Summary!$Q$13:$S$24,3,FALSE),VLOOKUP(A583,Summary!$Q$13:$S$24,3,FALSE)/6),-1)</f>
        <v>680</v>
      </c>
      <c r="C583" t="str">
        <f>IF(AND(H583=0,C582=Summary!$P$2),Summary!$Q$2,IF(AND(H583=0,C582=Summary!$Q$2),Summary!$R$2,C582))</f>
        <v>Reed</v>
      </c>
      <c r="D583" t="str">
        <f>IF(C583=Summary!$P$26,VLOOKUP(Summary!M590,Summary!$Q$26:$R$27,2),IF('Run Data'!C583=Summary!$P$28,VLOOKUP(Summary!M590,Summary!$Q$28:$R$29,2),VLOOKUP(Summary!M590,Summary!$Q$30:$R$32,2)))</f>
        <v>Sprig 2</v>
      </c>
      <c r="E583" t="str">
        <f>VLOOKUP(Summary!M593,Summary!$P$42:$Q$43,2)</f>
        <v>86</v>
      </c>
      <c r="F583">
        <f>IF(LEFT(A583,3)="B60",20,IF(LEFT(A583,3)="B12",30,25))+B583*0.5+INT(Summary!M596*20)</f>
        <v>383</v>
      </c>
      <c r="G583">
        <f>ROUND(IF(OR(ISERROR(FIND(Summary!$P$89,CONCATENATE(C583,D583,E583))),ISERROR(FIND(Summary!$Q$89,A583))),Summary!$R$45,IF(H583&gt;Summary!$V$3,Summary!$R$46,Summary!$R$45))*(B583+30),0)</f>
        <v>7</v>
      </c>
      <c r="H583">
        <f>IF(H582&gt;Summary!$V$4,0,H582+F582)</f>
        <v>25386</v>
      </c>
      <c r="I583" s="26">
        <f>DATE(YEAR(Summary!$V$2),MONTH(Summary!$V$2),DAY(Summary!$V$2)+INT(H583/480))</f>
        <v>43642</v>
      </c>
      <c r="J583" s="27">
        <f t="shared" si="9"/>
        <v>0.62916666666666665</v>
      </c>
    </row>
    <row r="584" spans="1:10">
      <c r="A584" t="str">
        <f>VLOOKUP(Summary!M583,Summary!$P$13:$Q$24,2)</f>
        <v>B600-sky</v>
      </c>
      <c r="B584">
        <f>ROUND(NORMINV(Summary!M585,VLOOKUP(A584,Summary!$Q$13:$S$24,3,FALSE),VLOOKUP(A584,Summary!$Q$13:$S$24,3,FALSE)/6),-1)</f>
        <v>400</v>
      </c>
      <c r="C584" t="str">
        <f>IF(AND(H584=0,C583=Summary!$P$2),Summary!$Q$2,IF(AND(H584=0,C583=Summary!$Q$2),Summary!$R$2,C583))</f>
        <v>Reed</v>
      </c>
      <c r="D584" t="str">
        <f>IF(C584=Summary!$P$26,VLOOKUP(Summary!M591,Summary!$Q$26:$R$27,2),IF('Run Data'!C584=Summary!$P$28,VLOOKUP(Summary!M591,Summary!$Q$28:$R$29,2),VLOOKUP(Summary!M591,Summary!$Q$30:$R$32,2)))</f>
        <v>Sprig 2</v>
      </c>
      <c r="E584" t="str">
        <f>VLOOKUP(Summary!M594,Summary!$P$42:$Q$43,2)</f>
        <v>86</v>
      </c>
      <c r="F584">
        <f>IF(LEFT(A584,3)="B60",20,IF(LEFT(A584,3)="B12",30,25))+B584*0.5+INT(Summary!M597*20)</f>
        <v>237</v>
      </c>
      <c r="G584">
        <f>ROUND(IF(OR(ISERROR(FIND(Summary!$P$89,CONCATENATE(C584,D584,E584))),ISERROR(FIND(Summary!$Q$89,A584))),Summary!$R$45,IF(H584&gt;Summary!$V$3,Summary!$R$46,Summary!$R$45))*(B584+30),0)</f>
        <v>4</v>
      </c>
      <c r="H584">
        <f>IF(H583&gt;Summary!$V$4,0,H583+F583)</f>
        <v>25769</v>
      </c>
      <c r="I584" s="26">
        <f>DATE(YEAR(Summary!$V$2),MONTH(Summary!$V$2),DAY(Summary!$V$2)+INT(H584/480))</f>
        <v>43643</v>
      </c>
      <c r="J584" s="27">
        <f t="shared" si="9"/>
        <v>0.56180555555555556</v>
      </c>
    </row>
    <row r="585" spans="1:10">
      <c r="A585" t="str">
        <f>VLOOKUP(Summary!M584,Summary!$P$13:$Q$24,2)</f>
        <v>B600-lime</v>
      </c>
      <c r="B585">
        <f>ROUND(NORMINV(Summary!M586,VLOOKUP(A585,Summary!$Q$13:$S$24,3,FALSE),VLOOKUP(A585,Summary!$Q$13:$S$24,3,FALSE)/6),-1)</f>
        <v>290</v>
      </c>
      <c r="C585" t="str">
        <f>IF(AND(H585=0,C584=Summary!$P$2),Summary!$Q$2,IF(AND(H585=0,C584=Summary!$Q$2),Summary!$R$2,C584))</f>
        <v>Reed</v>
      </c>
      <c r="D585" t="str">
        <f>IF(C585=Summary!$P$26,VLOOKUP(Summary!M592,Summary!$Q$26:$R$27,2),IF('Run Data'!C585=Summary!$P$28,VLOOKUP(Summary!M592,Summary!$Q$28:$R$29,2),VLOOKUP(Summary!M592,Summary!$Q$30:$R$32,2)))</f>
        <v>Sprig 4</v>
      </c>
      <c r="E585" t="str">
        <f>VLOOKUP(Summary!M595,Summary!$P$42:$Q$43,2)</f>
        <v>86</v>
      </c>
      <c r="F585">
        <f>IF(LEFT(A585,3)="B60",20,IF(LEFT(A585,3)="B12",30,25))+B585*0.5+INT(Summary!M598*20)</f>
        <v>173</v>
      </c>
      <c r="G585">
        <f>ROUND(IF(OR(ISERROR(FIND(Summary!$P$89,CONCATENATE(C585,D585,E585))),ISERROR(FIND(Summary!$Q$89,A585))),Summary!$R$45,IF(H585&gt;Summary!$V$3,Summary!$R$46,Summary!$R$45))*(B585+30),0)</f>
        <v>3</v>
      </c>
      <c r="H585">
        <f>IF(H584&gt;Summary!$V$4,0,H584+F584)</f>
        <v>26006</v>
      </c>
      <c r="I585" s="26">
        <f>DATE(YEAR(Summary!$V$2),MONTH(Summary!$V$2),DAY(Summary!$V$2)+INT(H585/480))</f>
        <v>43644</v>
      </c>
      <c r="J585" s="27">
        <f t="shared" si="9"/>
        <v>0.39305555555555555</v>
      </c>
    </row>
    <row r="586" spans="1:10">
      <c r="A586" t="str">
        <f>VLOOKUP(Summary!M585,Summary!$P$13:$Q$24,2)</f>
        <v>B600-sky</v>
      </c>
      <c r="B586">
        <f>ROUND(NORMINV(Summary!M587,VLOOKUP(A586,Summary!$Q$13:$S$24,3,FALSE),VLOOKUP(A586,Summary!$Q$13:$S$24,3,FALSE)/6),-1)</f>
        <v>490</v>
      </c>
      <c r="C586" t="str">
        <f>IF(AND(H586=0,C585=Summary!$P$2),Summary!$Q$2,IF(AND(H586=0,C585=Summary!$Q$2),Summary!$R$2,C585))</f>
        <v>Reed</v>
      </c>
      <c r="D586" t="str">
        <f>IF(C586=Summary!$P$26,VLOOKUP(Summary!M593,Summary!$Q$26:$R$27,2),IF('Run Data'!C586=Summary!$P$28,VLOOKUP(Summary!M593,Summary!$Q$28:$R$29,2),VLOOKUP(Summary!M593,Summary!$Q$30:$R$32,2)))</f>
        <v>Sprig 2</v>
      </c>
      <c r="E586" t="str">
        <f>VLOOKUP(Summary!M596,Summary!$P$42:$Q$43,2)</f>
        <v>86</v>
      </c>
      <c r="F586">
        <f>IF(LEFT(A586,3)="B60",20,IF(LEFT(A586,3)="B12",30,25))+B586*0.5+INT(Summary!M599*20)</f>
        <v>276</v>
      </c>
      <c r="G586">
        <f>ROUND(IF(OR(ISERROR(FIND(Summary!$P$89,CONCATENATE(C586,D586,E586))),ISERROR(FIND(Summary!$Q$89,A586))),Summary!$R$45,IF(H586&gt;Summary!$V$3,Summary!$R$46,Summary!$R$45))*(B586+30),0)</f>
        <v>5</v>
      </c>
      <c r="H586">
        <f>IF(H585&gt;Summary!$V$4,0,H585+F585)</f>
        <v>26179</v>
      </c>
      <c r="I586" s="26">
        <f>DATE(YEAR(Summary!$V$2),MONTH(Summary!$V$2),DAY(Summary!$V$2)+INT(H586/480))</f>
        <v>43644</v>
      </c>
      <c r="J586" s="27">
        <f t="shared" si="9"/>
        <v>0.5131944444444444</v>
      </c>
    </row>
    <row r="587" spans="1:10">
      <c r="A587" t="str">
        <f>VLOOKUP(Summary!M586,Summary!$P$13:$Q$24,2)</f>
        <v>B1200-fire</v>
      </c>
      <c r="B587">
        <f>ROUND(NORMINV(Summary!M588,VLOOKUP(A587,Summary!$Q$13:$S$24,3,FALSE),VLOOKUP(A587,Summary!$Q$13:$S$24,3,FALSE)/6),-1)</f>
        <v>1430</v>
      </c>
      <c r="C587" t="str">
        <f>IF(AND(H587=0,C586=Summary!$P$2),Summary!$Q$2,IF(AND(H587=0,C586=Summary!$Q$2),Summary!$R$2,C586))</f>
        <v>Reed</v>
      </c>
      <c r="D587" t="str">
        <f>IF(C587=Summary!$P$26,VLOOKUP(Summary!M594,Summary!$Q$26:$R$27,2),IF('Run Data'!C587=Summary!$P$28,VLOOKUP(Summary!M594,Summary!$Q$28:$R$29,2),VLOOKUP(Summary!M594,Summary!$Q$30:$R$32,2)))</f>
        <v>Sprig 2</v>
      </c>
      <c r="E587" t="str">
        <f>VLOOKUP(Summary!M597,Summary!$P$42:$Q$43,2)</f>
        <v>87b</v>
      </c>
      <c r="F587">
        <f>IF(LEFT(A587,3)="B60",20,IF(LEFT(A587,3)="B12",30,25))+B587*0.5+INT(Summary!M600*20)</f>
        <v>752</v>
      </c>
      <c r="G587">
        <f>ROUND(IF(OR(ISERROR(FIND(Summary!$P$89,CONCATENATE(C587,D587,E587))),ISERROR(FIND(Summary!$Q$89,A587))),Summary!$R$45,IF(H587&gt;Summary!$V$3,Summary!$R$46,Summary!$R$45))*(B587+30),0)</f>
        <v>15</v>
      </c>
      <c r="H587">
        <f>IF(H586&gt;Summary!$V$4,0,H586+F586)</f>
        <v>26455</v>
      </c>
      <c r="I587" s="26">
        <f>DATE(YEAR(Summary!$V$2),MONTH(Summary!$V$2),DAY(Summary!$V$2)+INT(H587/480))</f>
        <v>43645</v>
      </c>
      <c r="J587" s="27">
        <f t="shared" si="9"/>
        <v>0.37152777777777773</v>
      </c>
    </row>
    <row r="588" spans="1:10">
      <c r="A588" t="str">
        <f>VLOOKUP(Summary!M587,Summary!$P$13:$Q$24,2)</f>
        <v>B1200-sky</v>
      </c>
      <c r="B588">
        <f>ROUND(NORMINV(Summary!M589,VLOOKUP(A588,Summary!$Q$13:$S$24,3,FALSE),VLOOKUP(A588,Summary!$Q$13:$S$24,3,FALSE)/6),-1)</f>
        <v>1110</v>
      </c>
      <c r="C588" t="str">
        <f>IF(AND(H588=0,C587=Summary!$P$2),Summary!$Q$2,IF(AND(H588=0,C587=Summary!$Q$2),Summary!$R$2,C587))</f>
        <v>Reed</v>
      </c>
      <c r="D588" t="str">
        <f>IF(C588=Summary!$P$26,VLOOKUP(Summary!M595,Summary!$Q$26:$R$27,2),IF('Run Data'!C588=Summary!$P$28,VLOOKUP(Summary!M595,Summary!$Q$28:$R$29,2),VLOOKUP(Summary!M595,Summary!$Q$30:$R$32,2)))</f>
        <v>Sprig 2</v>
      </c>
      <c r="E588" t="str">
        <f>VLOOKUP(Summary!M598,Summary!$P$42:$Q$43,2)</f>
        <v>86</v>
      </c>
      <c r="F588">
        <f>IF(LEFT(A588,3)="B60",20,IF(LEFT(A588,3)="B12",30,25))+B588*0.5+INT(Summary!M601*20)</f>
        <v>602</v>
      </c>
      <c r="G588">
        <f>ROUND(IF(OR(ISERROR(FIND(Summary!$P$89,CONCATENATE(C588,D588,E588))),ISERROR(FIND(Summary!$Q$89,A588))),Summary!$R$45,IF(H588&gt;Summary!$V$3,Summary!$R$46,Summary!$R$45))*(B588+30),0)</f>
        <v>11</v>
      </c>
      <c r="H588">
        <f>IF(H587&gt;Summary!$V$4,0,H587+F587)</f>
        <v>27207</v>
      </c>
      <c r="I588" s="26">
        <f>DATE(YEAR(Summary!$V$2),MONTH(Summary!$V$2),DAY(Summary!$V$2)+INT(H588/480))</f>
        <v>43646</v>
      </c>
      <c r="J588" s="27">
        <f t="shared" si="9"/>
        <v>0.56041666666666667</v>
      </c>
    </row>
    <row r="589" spans="1:10">
      <c r="A589" t="str">
        <f>VLOOKUP(Summary!M588,Summary!$P$13:$Q$24,2)</f>
        <v>B1700-fire</v>
      </c>
      <c r="B589">
        <f>ROUND(NORMINV(Summary!M590,VLOOKUP(A589,Summary!$Q$13:$S$24,3,FALSE),VLOOKUP(A589,Summary!$Q$13:$S$24,3,FALSE)/6),-1)</f>
        <v>730</v>
      </c>
      <c r="C589" t="str">
        <f>IF(AND(H589=0,C588=Summary!$P$2),Summary!$Q$2,IF(AND(H589=0,C588=Summary!$Q$2),Summary!$R$2,C588))</f>
        <v>Reed</v>
      </c>
      <c r="D589" t="str">
        <f>IF(C589=Summary!$P$26,VLOOKUP(Summary!M596,Summary!$Q$26:$R$27,2),IF('Run Data'!C589=Summary!$P$28,VLOOKUP(Summary!M596,Summary!$Q$28:$R$29,2),VLOOKUP(Summary!M596,Summary!$Q$30:$R$32,2)))</f>
        <v>Sprig 2</v>
      </c>
      <c r="E589" t="str">
        <f>VLOOKUP(Summary!M599,Summary!$P$42:$Q$43,2)</f>
        <v>86</v>
      </c>
      <c r="F589">
        <f>IF(LEFT(A589,3)="B60",20,IF(LEFT(A589,3)="B12",30,25))+B589*0.5+INT(Summary!M602*20)</f>
        <v>398</v>
      </c>
      <c r="G589">
        <f>ROUND(IF(OR(ISERROR(FIND(Summary!$P$89,CONCATENATE(C589,D589,E589))),ISERROR(FIND(Summary!$Q$89,A589))),Summary!$R$45,IF(H589&gt;Summary!$V$3,Summary!$R$46,Summary!$R$45))*(B589+30),0)</f>
        <v>8</v>
      </c>
      <c r="H589">
        <f>IF(H588&gt;Summary!$V$4,0,H588+F588)</f>
        <v>27809</v>
      </c>
      <c r="I589" s="26">
        <f>DATE(YEAR(Summary!$V$2),MONTH(Summary!$V$2),DAY(Summary!$V$2)+INT(H589/480))</f>
        <v>43647</v>
      </c>
      <c r="J589" s="27">
        <f t="shared" si="9"/>
        <v>0.64513888888888882</v>
      </c>
    </row>
    <row r="590" spans="1:10">
      <c r="A590" t="str">
        <f>VLOOKUP(Summary!M589,Summary!$P$13:$Q$24,2)</f>
        <v>B1200-plum</v>
      </c>
      <c r="B590">
        <f>ROUND(NORMINV(Summary!M591,VLOOKUP(A590,Summary!$Q$13:$S$24,3,FALSE),VLOOKUP(A590,Summary!$Q$13:$S$24,3,FALSE)/6),-1)</f>
        <v>430</v>
      </c>
      <c r="C590" t="str">
        <f>IF(AND(H590=0,C589=Summary!$P$2),Summary!$Q$2,IF(AND(H590=0,C589=Summary!$Q$2),Summary!$R$2,C589))</f>
        <v>Reed</v>
      </c>
      <c r="D590" t="str">
        <f>IF(C590=Summary!$P$26,VLOOKUP(Summary!M597,Summary!$Q$26:$R$27,2),IF('Run Data'!C590=Summary!$P$28,VLOOKUP(Summary!M597,Summary!$Q$28:$R$29,2),VLOOKUP(Summary!M597,Summary!$Q$30:$R$32,2)))</f>
        <v>Sprig 4</v>
      </c>
      <c r="E590" t="str">
        <f>VLOOKUP(Summary!M600,Summary!$P$42:$Q$43,2)</f>
        <v>86</v>
      </c>
      <c r="F590">
        <f>IF(LEFT(A590,3)="B60",20,IF(LEFT(A590,3)="B12",30,25))+B590*0.5+INT(Summary!M603*20)</f>
        <v>255</v>
      </c>
      <c r="G590">
        <f>ROUND(IF(OR(ISERROR(FIND(Summary!$P$89,CONCATENATE(C590,D590,E590))),ISERROR(FIND(Summary!$Q$89,A590))),Summary!$R$45,IF(H590&gt;Summary!$V$3,Summary!$R$46,Summary!$R$45))*(B590+30),0)</f>
        <v>5</v>
      </c>
      <c r="H590">
        <f>IF(H589&gt;Summary!$V$4,0,H589+F589)</f>
        <v>28207</v>
      </c>
      <c r="I590" s="26">
        <f>DATE(YEAR(Summary!$V$2),MONTH(Summary!$V$2),DAY(Summary!$V$2)+INT(H590/480))</f>
        <v>43648</v>
      </c>
      <c r="J590" s="27">
        <f t="shared" si="9"/>
        <v>0.58819444444444446</v>
      </c>
    </row>
    <row r="591" spans="1:10">
      <c r="A591" t="str">
        <f>VLOOKUP(Summary!M590,Summary!$P$13:$Q$24,2)</f>
        <v>B1200-sky</v>
      </c>
      <c r="B591">
        <f>ROUND(NORMINV(Summary!M592,VLOOKUP(A591,Summary!$Q$13:$S$24,3,FALSE),VLOOKUP(A591,Summary!$Q$13:$S$24,3,FALSE)/6),-1)</f>
        <v>1430</v>
      </c>
      <c r="C591" t="str">
        <f>IF(AND(H591=0,C590=Summary!$P$2),Summary!$Q$2,IF(AND(H591=0,C590=Summary!$Q$2),Summary!$R$2,C590))</f>
        <v>Reed</v>
      </c>
      <c r="D591" t="str">
        <f>IF(C591=Summary!$P$26,VLOOKUP(Summary!M598,Summary!$Q$26:$R$27,2),IF('Run Data'!C591=Summary!$P$28,VLOOKUP(Summary!M598,Summary!$Q$28:$R$29,2),VLOOKUP(Summary!M598,Summary!$Q$30:$R$32,2)))</f>
        <v>Sprig 2</v>
      </c>
      <c r="E591" t="str">
        <f>VLOOKUP(Summary!M601,Summary!$P$42:$Q$43,2)</f>
        <v>87b</v>
      </c>
      <c r="F591">
        <f>IF(LEFT(A591,3)="B60",20,IF(LEFT(A591,3)="B12",30,25))+B591*0.5+INT(Summary!M604*20)</f>
        <v>761</v>
      </c>
      <c r="G591">
        <f>ROUND(IF(OR(ISERROR(FIND(Summary!$P$89,CONCATENATE(C591,D591,E591))),ISERROR(FIND(Summary!$Q$89,A591))),Summary!$R$45,IF(H591&gt;Summary!$V$3,Summary!$R$46,Summary!$R$45))*(B591+30),0)</f>
        <v>15</v>
      </c>
      <c r="H591">
        <f>IF(H590&gt;Summary!$V$4,0,H590+F590)</f>
        <v>28462</v>
      </c>
      <c r="I591" s="26">
        <f>DATE(YEAR(Summary!$V$2),MONTH(Summary!$V$2),DAY(Summary!$V$2)+INT(H591/480))</f>
        <v>43649</v>
      </c>
      <c r="J591" s="27">
        <f t="shared" si="9"/>
        <v>0.43194444444444446</v>
      </c>
    </row>
    <row r="592" spans="1:10">
      <c r="A592" t="str">
        <f>VLOOKUP(Summary!M591,Summary!$P$13:$Q$24,2)</f>
        <v>B1200-sky</v>
      </c>
      <c r="B592">
        <f>ROUND(NORMINV(Summary!M593,VLOOKUP(A592,Summary!$Q$13:$S$24,3,FALSE),VLOOKUP(A592,Summary!$Q$13:$S$24,3,FALSE)/6),-1)</f>
        <v>1320</v>
      </c>
      <c r="C592" t="str">
        <f>IF(AND(H592=0,C591=Summary!$P$2),Summary!$Q$2,IF(AND(H592=0,C591=Summary!$Q$2),Summary!$R$2,C591))</f>
        <v>Reed</v>
      </c>
      <c r="D592" t="str">
        <f>IF(C592=Summary!$P$26,VLOOKUP(Summary!M599,Summary!$Q$26:$R$27,2),IF('Run Data'!C592=Summary!$P$28,VLOOKUP(Summary!M599,Summary!$Q$28:$R$29,2),VLOOKUP(Summary!M599,Summary!$Q$30:$R$32,2)))</f>
        <v>Sprig 2</v>
      </c>
      <c r="E592" t="str">
        <f>VLOOKUP(Summary!M602,Summary!$P$42:$Q$43,2)</f>
        <v>86</v>
      </c>
      <c r="F592">
        <f>IF(LEFT(A592,3)="B60",20,IF(LEFT(A592,3)="B12",30,25))+B592*0.5+INT(Summary!M605*20)</f>
        <v>694</v>
      </c>
      <c r="G592">
        <f>ROUND(IF(OR(ISERROR(FIND(Summary!$P$89,CONCATENATE(C592,D592,E592))),ISERROR(FIND(Summary!$Q$89,A592))),Summary!$R$45,IF(H592&gt;Summary!$V$3,Summary!$R$46,Summary!$R$45))*(B592+30),0)</f>
        <v>14</v>
      </c>
      <c r="H592">
        <f>IF(H591&gt;Summary!$V$4,0,H591+F591)</f>
        <v>29223</v>
      </c>
      <c r="I592" s="26">
        <f>DATE(YEAR(Summary!$V$2),MONTH(Summary!$V$2),DAY(Summary!$V$2)+INT(H592/480))</f>
        <v>43650</v>
      </c>
      <c r="J592" s="27">
        <f t="shared" si="9"/>
        <v>0.62708333333333333</v>
      </c>
    </row>
    <row r="593" spans="1:10">
      <c r="A593" t="str">
        <f>VLOOKUP(Summary!M592,Summary!$P$13:$Q$24,2)</f>
        <v>B1700-fire</v>
      </c>
      <c r="B593">
        <f>ROUND(NORMINV(Summary!M594,VLOOKUP(A593,Summary!$Q$13:$S$24,3,FALSE),VLOOKUP(A593,Summary!$Q$13:$S$24,3,FALSE)/6),-1)</f>
        <v>780</v>
      </c>
      <c r="C593" t="str">
        <f>IF(AND(H593=0,C592=Summary!$P$2),Summary!$Q$2,IF(AND(H593=0,C592=Summary!$Q$2),Summary!$R$2,C592))</f>
        <v>Reed</v>
      </c>
      <c r="D593" t="str">
        <f>IF(C593=Summary!$P$26,VLOOKUP(Summary!M600,Summary!$Q$26:$R$27,2),IF('Run Data'!C593=Summary!$P$28,VLOOKUP(Summary!M600,Summary!$Q$28:$R$29,2),VLOOKUP(Summary!M600,Summary!$Q$30:$R$32,2)))</f>
        <v>Sprig 2</v>
      </c>
      <c r="E593" t="str">
        <f>VLOOKUP(Summary!M603,Summary!$P$42:$Q$43,2)</f>
        <v>86</v>
      </c>
      <c r="F593">
        <f>IF(LEFT(A593,3)="B60",20,IF(LEFT(A593,3)="B12",30,25))+B593*0.5+INT(Summary!M606*20)</f>
        <v>431</v>
      </c>
      <c r="G593">
        <f>ROUND(IF(OR(ISERROR(FIND(Summary!$P$89,CONCATENATE(C593,D593,E593))),ISERROR(FIND(Summary!$Q$89,A593))),Summary!$R$45,IF(H593&gt;Summary!$V$3,Summary!$R$46,Summary!$R$45))*(B593+30),0)</f>
        <v>8</v>
      </c>
      <c r="H593">
        <f>IF(H592&gt;Summary!$V$4,0,H592+F592)</f>
        <v>29917</v>
      </c>
      <c r="I593" s="26">
        <f>DATE(YEAR(Summary!$V$2),MONTH(Summary!$V$2),DAY(Summary!$V$2)+INT(H593/480))</f>
        <v>43652</v>
      </c>
      <c r="J593" s="27">
        <f t="shared" ref="J593:J656" si="10">TIME(INT(MOD(H593,480)/60)+8,MOD(MOD(H593,480),60),0)</f>
        <v>0.44236111111111115</v>
      </c>
    </row>
    <row r="594" spans="1:10">
      <c r="A594" t="str">
        <f>VLOOKUP(Summary!M593,Summary!$P$13:$Q$24,2)</f>
        <v>B1700-plum</v>
      </c>
      <c r="B594">
        <f>ROUND(NORMINV(Summary!M595,VLOOKUP(A594,Summary!$Q$13:$S$24,3,FALSE),VLOOKUP(A594,Summary!$Q$13:$S$24,3,FALSE)/6),-1)</f>
        <v>290</v>
      </c>
      <c r="C594" t="str">
        <f>IF(AND(H594=0,C593=Summary!$P$2),Summary!$Q$2,IF(AND(H594=0,C593=Summary!$Q$2),Summary!$R$2,C593))</f>
        <v>Reed</v>
      </c>
      <c r="D594" t="str">
        <f>IF(C594=Summary!$P$26,VLOOKUP(Summary!M601,Summary!$Q$26:$R$27,2),IF('Run Data'!C594=Summary!$P$28,VLOOKUP(Summary!M601,Summary!$Q$28:$R$29,2),VLOOKUP(Summary!M601,Summary!$Q$30:$R$32,2)))</f>
        <v>Sprig 4</v>
      </c>
      <c r="E594" t="str">
        <f>VLOOKUP(Summary!M604,Summary!$P$42:$Q$43,2)</f>
        <v>86</v>
      </c>
      <c r="F594">
        <f>IF(LEFT(A594,3)="B60",20,IF(LEFT(A594,3)="B12",30,25))+B594*0.5+INT(Summary!M607*20)</f>
        <v>181</v>
      </c>
      <c r="G594">
        <f>ROUND(IF(OR(ISERROR(FIND(Summary!$P$89,CONCATENATE(C594,D594,E594))),ISERROR(FIND(Summary!$Q$89,A594))),Summary!$R$45,IF(H594&gt;Summary!$V$3,Summary!$R$46,Summary!$R$45))*(B594+30),0)</f>
        <v>3</v>
      </c>
      <c r="H594">
        <f>IF(H593&gt;Summary!$V$4,0,H593+F593)</f>
        <v>30348</v>
      </c>
      <c r="I594" s="26">
        <f>DATE(YEAR(Summary!$V$2),MONTH(Summary!$V$2),DAY(Summary!$V$2)+INT(H594/480))</f>
        <v>43653</v>
      </c>
      <c r="J594" s="27">
        <f t="shared" si="10"/>
        <v>0.40833333333333338</v>
      </c>
    </row>
    <row r="595" spans="1:10">
      <c r="A595" t="str">
        <f>VLOOKUP(Summary!M594,Summary!$P$13:$Q$24,2)</f>
        <v>B1200-lime</v>
      </c>
      <c r="B595">
        <f>ROUND(NORMINV(Summary!M596,VLOOKUP(A595,Summary!$Q$13:$S$24,3,FALSE),VLOOKUP(A595,Summary!$Q$13:$S$24,3,FALSE)/6),-1)</f>
        <v>850</v>
      </c>
      <c r="C595" t="str">
        <f>IF(AND(H595=0,C594=Summary!$P$2),Summary!$Q$2,IF(AND(H595=0,C594=Summary!$Q$2),Summary!$R$2,C594))</f>
        <v>Reed</v>
      </c>
      <c r="D595" t="str">
        <f>IF(C595=Summary!$P$26,VLOOKUP(Summary!M602,Summary!$Q$26:$R$27,2),IF('Run Data'!C595=Summary!$P$28,VLOOKUP(Summary!M602,Summary!$Q$28:$R$29,2),VLOOKUP(Summary!M602,Summary!$Q$30:$R$32,2)))</f>
        <v>Sprig 2</v>
      </c>
      <c r="E595" t="str">
        <f>VLOOKUP(Summary!M605,Summary!$P$42:$Q$43,2)</f>
        <v>86</v>
      </c>
      <c r="F595">
        <f>IF(LEFT(A595,3)="B60",20,IF(LEFT(A595,3)="B12",30,25))+B595*0.5+INT(Summary!M608*20)</f>
        <v>457</v>
      </c>
      <c r="G595">
        <f>ROUND(IF(OR(ISERROR(FIND(Summary!$P$89,CONCATENATE(C595,D595,E595))),ISERROR(FIND(Summary!$Q$89,A595))),Summary!$R$45,IF(H595&gt;Summary!$V$3,Summary!$R$46,Summary!$R$45))*(B595+30),0)</f>
        <v>9</v>
      </c>
      <c r="H595">
        <f>IF(H594&gt;Summary!$V$4,0,H594+F594)</f>
        <v>30529</v>
      </c>
      <c r="I595" s="26">
        <f>DATE(YEAR(Summary!$V$2),MONTH(Summary!$V$2),DAY(Summary!$V$2)+INT(H595/480))</f>
        <v>43653</v>
      </c>
      <c r="J595" s="27">
        <f t="shared" si="10"/>
        <v>0.53402777777777777</v>
      </c>
    </row>
    <row r="596" spans="1:10">
      <c r="A596" t="str">
        <f>VLOOKUP(Summary!M595,Summary!$P$13:$Q$24,2)</f>
        <v>B1200-sky</v>
      </c>
      <c r="B596">
        <f>ROUND(NORMINV(Summary!M597,VLOOKUP(A596,Summary!$Q$13:$S$24,3,FALSE),VLOOKUP(A596,Summary!$Q$13:$S$24,3,FALSE)/6),-1)</f>
        <v>1450</v>
      </c>
      <c r="C596" t="str">
        <f>IF(AND(H596=0,C595=Summary!$P$2),Summary!$Q$2,IF(AND(H596=0,C595=Summary!$Q$2),Summary!$R$2,C595))</f>
        <v>Reed</v>
      </c>
      <c r="D596" t="str">
        <f>IF(C596=Summary!$P$26,VLOOKUP(Summary!M603,Summary!$Q$26:$R$27,2),IF('Run Data'!C596=Summary!$P$28,VLOOKUP(Summary!M603,Summary!$Q$28:$R$29,2),VLOOKUP(Summary!M603,Summary!$Q$30:$R$32,2)))</f>
        <v>Sprig 2</v>
      </c>
      <c r="E596" t="str">
        <f>VLOOKUP(Summary!M606,Summary!$P$42:$Q$43,2)</f>
        <v>86</v>
      </c>
      <c r="F596">
        <f>IF(LEFT(A596,3)="B60",20,IF(LEFT(A596,3)="B12",30,25))+B596*0.5+INT(Summary!M609*20)</f>
        <v>765</v>
      </c>
      <c r="G596">
        <f>ROUND(IF(OR(ISERROR(FIND(Summary!$P$89,CONCATENATE(C596,D596,E596))),ISERROR(FIND(Summary!$Q$89,A596))),Summary!$R$45,IF(H596&gt;Summary!$V$3,Summary!$R$46,Summary!$R$45))*(B596+30),0)</f>
        <v>15</v>
      </c>
      <c r="H596">
        <f>IF(H595&gt;Summary!$V$4,0,H595+F595)</f>
        <v>30986</v>
      </c>
      <c r="I596" s="26">
        <f>DATE(YEAR(Summary!$V$2),MONTH(Summary!$V$2),DAY(Summary!$V$2)+INT(H596/480))</f>
        <v>43654</v>
      </c>
      <c r="J596" s="27">
        <f t="shared" si="10"/>
        <v>0.5180555555555556</v>
      </c>
    </row>
    <row r="597" spans="1:10">
      <c r="A597" t="str">
        <f>VLOOKUP(Summary!M596,Summary!$P$13:$Q$24,2)</f>
        <v>B1200-lime</v>
      </c>
      <c r="B597">
        <f>ROUND(NORMINV(Summary!M598,VLOOKUP(A597,Summary!$Q$13:$S$24,3,FALSE),VLOOKUP(A597,Summary!$Q$13:$S$24,3,FALSE)/6),-1)</f>
        <v>770</v>
      </c>
      <c r="C597" t="str">
        <f>IF(AND(H597=0,C596=Summary!$P$2),Summary!$Q$2,IF(AND(H597=0,C596=Summary!$Q$2),Summary!$R$2,C596))</f>
        <v>Reed</v>
      </c>
      <c r="D597" t="str">
        <f>IF(C597=Summary!$P$26,VLOOKUP(Summary!M604,Summary!$Q$26:$R$27,2),IF('Run Data'!C597=Summary!$P$28,VLOOKUP(Summary!M604,Summary!$Q$28:$R$29,2),VLOOKUP(Summary!M604,Summary!$Q$30:$R$32,2)))</f>
        <v>Sprig 4</v>
      </c>
      <c r="E597" t="str">
        <f>VLOOKUP(Summary!M607,Summary!$P$42:$Q$43,2)</f>
        <v>86</v>
      </c>
      <c r="F597">
        <f>IF(LEFT(A597,3)="B60",20,IF(LEFT(A597,3)="B12",30,25))+B597*0.5+INT(Summary!M610*20)</f>
        <v>431</v>
      </c>
      <c r="G597">
        <f>ROUND(IF(OR(ISERROR(FIND(Summary!$P$89,CONCATENATE(C597,D597,E597))),ISERROR(FIND(Summary!$Q$89,A597))),Summary!$R$45,IF(H597&gt;Summary!$V$3,Summary!$R$46,Summary!$R$45))*(B597+30),0)</f>
        <v>8</v>
      </c>
      <c r="H597">
        <f>IF(H596&gt;Summary!$V$4,0,H596+F596)</f>
        <v>31751</v>
      </c>
      <c r="I597" s="26">
        <f>DATE(YEAR(Summary!$V$2),MONTH(Summary!$V$2),DAY(Summary!$V$2)+INT(H597/480))</f>
        <v>43656</v>
      </c>
      <c r="J597" s="27">
        <f t="shared" si="10"/>
        <v>0.38263888888888892</v>
      </c>
    </row>
    <row r="598" spans="1:10">
      <c r="A598" t="str">
        <f>VLOOKUP(Summary!M597,Summary!$P$13:$Q$24,2)</f>
        <v>B1700-fire</v>
      </c>
      <c r="B598">
        <f>ROUND(NORMINV(Summary!M599,VLOOKUP(A598,Summary!$Q$13:$S$24,3,FALSE),VLOOKUP(A598,Summary!$Q$13:$S$24,3,FALSE)/6),-1)</f>
        <v>770</v>
      </c>
      <c r="C598" t="str">
        <f>IF(AND(H598=0,C597=Summary!$P$2),Summary!$Q$2,IF(AND(H598=0,C597=Summary!$Q$2),Summary!$R$2,C597))</f>
        <v>Reed</v>
      </c>
      <c r="D598" t="str">
        <f>IF(C598=Summary!$P$26,VLOOKUP(Summary!M605,Summary!$Q$26:$R$27,2),IF('Run Data'!C598=Summary!$P$28,VLOOKUP(Summary!M605,Summary!$Q$28:$R$29,2),VLOOKUP(Summary!M605,Summary!$Q$30:$R$32,2)))</f>
        <v>Sprig 2</v>
      </c>
      <c r="E598" t="str">
        <f>VLOOKUP(Summary!M608,Summary!$P$42:$Q$43,2)</f>
        <v>86</v>
      </c>
      <c r="F598">
        <f>IF(LEFT(A598,3)="B60",20,IF(LEFT(A598,3)="B12",30,25))+B598*0.5+INT(Summary!M611*20)</f>
        <v>417</v>
      </c>
      <c r="G598">
        <f>ROUND(IF(OR(ISERROR(FIND(Summary!$P$89,CONCATENATE(C598,D598,E598))),ISERROR(FIND(Summary!$Q$89,A598))),Summary!$R$45,IF(H598&gt;Summary!$V$3,Summary!$R$46,Summary!$R$45))*(B598+30),0)</f>
        <v>8</v>
      </c>
      <c r="H598">
        <f>IF(H597&gt;Summary!$V$4,0,H597+F597)</f>
        <v>32182</v>
      </c>
      <c r="I598" s="26">
        <f>DATE(YEAR(Summary!$V$2),MONTH(Summary!$V$2),DAY(Summary!$V$2)+INT(H598/480))</f>
        <v>43657</v>
      </c>
      <c r="J598" s="27">
        <f t="shared" si="10"/>
        <v>0.34861111111111115</v>
      </c>
    </row>
    <row r="599" spans="1:10">
      <c r="A599" t="str">
        <f>VLOOKUP(Summary!M598,Summary!$P$13:$Q$24,2)</f>
        <v>B1200-sky</v>
      </c>
      <c r="B599">
        <f>ROUND(NORMINV(Summary!M600,VLOOKUP(A599,Summary!$Q$13:$S$24,3,FALSE),VLOOKUP(A599,Summary!$Q$13:$S$24,3,FALSE)/6),-1)</f>
        <v>1130</v>
      </c>
      <c r="C599" t="str">
        <f>IF(AND(H599=0,C598=Summary!$P$2),Summary!$Q$2,IF(AND(H599=0,C598=Summary!$Q$2),Summary!$R$2,C598))</f>
        <v>Reed</v>
      </c>
      <c r="D599" t="str">
        <f>IF(C599=Summary!$P$26,VLOOKUP(Summary!M606,Summary!$Q$26:$R$27,2),IF('Run Data'!C599=Summary!$P$28,VLOOKUP(Summary!M606,Summary!$Q$28:$R$29,2),VLOOKUP(Summary!M606,Summary!$Q$30:$R$32,2)))</f>
        <v>Sprig 4</v>
      </c>
      <c r="E599" t="str">
        <f>VLOOKUP(Summary!M609,Summary!$P$42:$Q$43,2)</f>
        <v>86</v>
      </c>
      <c r="F599">
        <f>IF(LEFT(A599,3)="B60",20,IF(LEFT(A599,3)="B12",30,25))+B599*0.5+INT(Summary!M612*20)</f>
        <v>614</v>
      </c>
      <c r="G599">
        <f>ROUND(IF(OR(ISERROR(FIND(Summary!$P$89,CONCATENATE(C599,D599,E599))),ISERROR(FIND(Summary!$Q$89,A599))),Summary!$R$45,IF(H599&gt;Summary!$V$3,Summary!$R$46,Summary!$R$45))*(B599+30),0)</f>
        <v>12</v>
      </c>
      <c r="H599">
        <f>IF(H598&gt;Summary!$V$4,0,H598+F598)</f>
        <v>32599</v>
      </c>
      <c r="I599" s="26">
        <f>DATE(YEAR(Summary!$V$2),MONTH(Summary!$V$2),DAY(Summary!$V$2)+INT(H599/480))</f>
        <v>43657</v>
      </c>
      <c r="J599" s="27">
        <f t="shared" si="10"/>
        <v>0.6381944444444444</v>
      </c>
    </row>
    <row r="600" spans="1:10">
      <c r="A600" t="str">
        <f>VLOOKUP(Summary!M599,Summary!$P$13:$Q$24,2)</f>
        <v>B1200-lime</v>
      </c>
      <c r="B600">
        <f>ROUND(NORMINV(Summary!M601,VLOOKUP(A600,Summary!$Q$13:$S$24,3,FALSE),VLOOKUP(A600,Summary!$Q$13:$S$24,3,FALSE)/6),-1)</f>
        <v>960</v>
      </c>
      <c r="C600" t="str">
        <f>IF(AND(H600=0,C599=Summary!$P$2),Summary!$Q$2,IF(AND(H600=0,C599=Summary!$Q$2),Summary!$R$2,C599))</f>
        <v>Reed</v>
      </c>
      <c r="D600" t="str">
        <f>IF(C600=Summary!$P$26,VLOOKUP(Summary!M607,Summary!$Q$26:$R$27,2),IF('Run Data'!C600=Summary!$P$28,VLOOKUP(Summary!M607,Summary!$Q$28:$R$29,2),VLOOKUP(Summary!M607,Summary!$Q$30:$R$32,2)))</f>
        <v>Sprig 2</v>
      </c>
      <c r="E600" t="str">
        <f>VLOOKUP(Summary!M610,Summary!$P$42:$Q$43,2)</f>
        <v>86</v>
      </c>
      <c r="F600">
        <f>IF(LEFT(A600,3)="B60",20,IF(LEFT(A600,3)="B12",30,25))+B600*0.5+INT(Summary!M613*20)</f>
        <v>515</v>
      </c>
      <c r="G600">
        <f>ROUND(IF(OR(ISERROR(FIND(Summary!$P$89,CONCATENATE(C600,D600,E600))),ISERROR(FIND(Summary!$Q$89,A600))),Summary!$R$45,IF(H600&gt;Summary!$V$3,Summary!$R$46,Summary!$R$45))*(B600+30),0)</f>
        <v>10</v>
      </c>
      <c r="H600">
        <f>IF(H599&gt;Summary!$V$4,0,H599+F599)</f>
        <v>33213</v>
      </c>
      <c r="I600" s="26">
        <f>DATE(YEAR(Summary!$V$2),MONTH(Summary!$V$2),DAY(Summary!$V$2)+INT(H600/480))</f>
        <v>43659</v>
      </c>
      <c r="J600" s="27">
        <f t="shared" si="10"/>
        <v>0.3979166666666667</v>
      </c>
    </row>
    <row r="601" spans="1:10">
      <c r="A601" t="str">
        <f>VLOOKUP(Summary!M600,Summary!$P$13:$Q$24,2)</f>
        <v>B1200-sky</v>
      </c>
      <c r="B601">
        <f>ROUND(NORMINV(Summary!M602,VLOOKUP(A601,Summary!$Q$13:$S$24,3,FALSE),VLOOKUP(A601,Summary!$Q$13:$S$24,3,FALSE)/6),-1)</f>
        <v>1170</v>
      </c>
      <c r="C601" t="str">
        <f>IF(AND(H601=0,C600=Summary!$P$2),Summary!$Q$2,IF(AND(H601=0,C600=Summary!$Q$2),Summary!$R$2,C600))</f>
        <v>Reed</v>
      </c>
      <c r="D601" t="str">
        <f>IF(C601=Summary!$P$26,VLOOKUP(Summary!M608,Summary!$Q$26:$R$27,2),IF('Run Data'!C601=Summary!$P$28,VLOOKUP(Summary!M608,Summary!$Q$28:$R$29,2),VLOOKUP(Summary!M608,Summary!$Q$30:$R$32,2)))</f>
        <v>Sprig 2</v>
      </c>
      <c r="E601" t="str">
        <f>VLOOKUP(Summary!M611,Summary!$P$42:$Q$43,2)</f>
        <v>86</v>
      </c>
      <c r="F601">
        <f>IF(LEFT(A601,3)="B60",20,IF(LEFT(A601,3)="B12",30,25))+B601*0.5+INT(Summary!M614*20)</f>
        <v>632</v>
      </c>
      <c r="G601">
        <f>ROUND(IF(OR(ISERROR(FIND(Summary!$P$89,CONCATENATE(C601,D601,E601))),ISERROR(FIND(Summary!$Q$89,A601))),Summary!$R$45,IF(H601&gt;Summary!$V$3,Summary!$R$46,Summary!$R$45))*(B601+30),0)</f>
        <v>12</v>
      </c>
      <c r="H601">
        <f>IF(H600&gt;Summary!$V$4,0,H600+F600)</f>
        <v>33728</v>
      </c>
      <c r="I601" s="26">
        <f>DATE(YEAR(Summary!$V$2),MONTH(Summary!$V$2),DAY(Summary!$V$2)+INT(H601/480))</f>
        <v>43660</v>
      </c>
      <c r="J601" s="27">
        <f t="shared" si="10"/>
        <v>0.42222222222222222</v>
      </c>
    </row>
    <row r="602" spans="1:10">
      <c r="A602" t="str">
        <f>VLOOKUP(Summary!M601,Summary!$P$13:$Q$24,2)</f>
        <v>B1700-fire</v>
      </c>
      <c r="B602">
        <f>ROUND(NORMINV(Summary!M603,VLOOKUP(A602,Summary!$Q$13:$S$24,3,FALSE),VLOOKUP(A602,Summary!$Q$13:$S$24,3,FALSE)/6),-1)</f>
        <v>760</v>
      </c>
      <c r="C602" t="str">
        <f>IF(AND(H602=0,C601=Summary!$P$2),Summary!$Q$2,IF(AND(H602=0,C601=Summary!$Q$2),Summary!$R$2,C601))</f>
        <v>Reed</v>
      </c>
      <c r="D602" t="str">
        <f>IF(C602=Summary!$P$26,VLOOKUP(Summary!M609,Summary!$Q$26:$R$27,2),IF('Run Data'!C602=Summary!$P$28,VLOOKUP(Summary!M609,Summary!$Q$28:$R$29,2),VLOOKUP(Summary!M609,Summary!$Q$30:$R$32,2)))</f>
        <v>Sprig 2</v>
      </c>
      <c r="E602" t="str">
        <f>VLOOKUP(Summary!M612,Summary!$P$42:$Q$43,2)</f>
        <v>87b</v>
      </c>
      <c r="F602">
        <f>IF(LEFT(A602,3)="B60",20,IF(LEFT(A602,3)="B12",30,25))+B602*0.5+INT(Summary!M615*20)</f>
        <v>423</v>
      </c>
      <c r="G602">
        <f>ROUND(IF(OR(ISERROR(FIND(Summary!$P$89,CONCATENATE(C602,D602,E602))),ISERROR(FIND(Summary!$Q$89,A602))),Summary!$R$45,IF(H602&gt;Summary!$V$3,Summary!$R$46,Summary!$R$45))*(B602+30),0)</f>
        <v>8</v>
      </c>
      <c r="H602">
        <f>IF(H601&gt;Summary!$V$4,0,H601+F601)</f>
        <v>34360</v>
      </c>
      <c r="I602" s="26">
        <f>DATE(YEAR(Summary!$V$2),MONTH(Summary!$V$2),DAY(Summary!$V$2)+INT(H602/480))</f>
        <v>43661</v>
      </c>
      <c r="J602" s="27">
        <f t="shared" si="10"/>
        <v>0.52777777777777779</v>
      </c>
    </row>
    <row r="603" spans="1:10">
      <c r="A603" t="str">
        <f>VLOOKUP(Summary!M602,Summary!$P$13:$Q$24,2)</f>
        <v>B1200-sky</v>
      </c>
      <c r="B603">
        <f>ROUND(NORMINV(Summary!M604,VLOOKUP(A603,Summary!$Q$13:$S$24,3,FALSE),VLOOKUP(A603,Summary!$Q$13:$S$24,3,FALSE)/6),-1)</f>
        <v>1410</v>
      </c>
      <c r="C603" t="str">
        <f>IF(AND(H603=0,C602=Summary!$P$2),Summary!$Q$2,IF(AND(H603=0,C602=Summary!$Q$2),Summary!$R$2,C602))</f>
        <v>Reed</v>
      </c>
      <c r="D603" t="str">
        <f>IF(C603=Summary!$P$26,VLOOKUP(Summary!M610,Summary!$Q$26:$R$27,2),IF('Run Data'!C603=Summary!$P$28,VLOOKUP(Summary!M610,Summary!$Q$28:$R$29,2),VLOOKUP(Summary!M610,Summary!$Q$30:$R$32,2)))</f>
        <v>Sprig 4</v>
      </c>
      <c r="E603" t="str">
        <f>VLOOKUP(Summary!M613,Summary!$P$42:$Q$43,2)</f>
        <v>86</v>
      </c>
      <c r="F603">
        <f>IF(LEFT(A603,3)="B60",20,IF(LEFT(A603,3)="B12",30,25))+B603*0.5+INT(Summary!M616*20)</f>
        <v>738</v>
      </c>
      <c r="G603">
        <f>ROUND(IF(OR(ISERROR(FIND(Summary!$P$89,CONCATENATE(C603,D603,E603))),ISERROR(FIND(Summary!$Q$89,A603))),Summary!$R$45,IF(H603&gt;Summary!$V$3,Summary!$R$46,Summary!$R$45))*(B603+30),0)</f>
        <v>14</v>
      </c>
      <c r="H603">
        <f>IF(H602&gt;Summary!$V$4,0,H602+F602)</f>
        <v>34783</v>
      </c>
      <c r="I603" s="26">
        <f>DATE(YEAR(Summary!$V$2),MONTH(Summary!$V$2),DAY(Summary!$V$2)+INT(H603/480))</f>
        <v>43662</v>
      </c>
      <c r="J603" s="27">
        <f t="shared" si="10"/>
        <v>0.48819444444444443</v>
      </c>
    </row>
    <row r="604" spans="1:10">
      <c r="A604" t="str">
        <f>VLOOKUP(Summary!M603,Summary!$P$13:$Q$24,2)</f>
        <v>B1200-fire</v>
      </c>
      <c r="B604">
        <f>ROUND(NORMINV(Summary!M605,VLOOKUP(A604,Summary!$Q$13:$S$24,3,FALSE),VLOOKUP(A604,Summary!$Q$13:$S$24,3,FALSE)/6),-1)</f>
        <v>1050</v>
      </c>
      <c r="C604" t="str">
        <f>IF(AND(H604=0,C603=Summary!$P$2),Summary!$Q$2,IF(AND(H604=0,C603=Summary!$Q$2),Summary!$R$2,C603))</f>
        <v>Reed</v>
      </c>
      <c r="D604" t="str">
        <f>IF(C604=Summary!$P$26,VLOOKUP(Summary!M611,Summary!$Q$26:$R$27,2),IF('Run Data'!C604=Summary!$P$28,VLOOKUP(Summary!M611,Summary!$Q$28:$R$29,2),VLOOKUP(Summary!M611,Summary!$Q$30:$R$32,2)))</f>
        <v>Sprig 2</v>
      </c>
      <c r="E604" t="str">
        <f>VLOOKUP(Summary!M614,Summary!$P$42:$Q$43,2)</f>
        <v>87b</v>
      </c>
      <c r="F604">
        <f>IF(LEFT(A604,3)="B60",20,IF(LEFT(A604,3)="B12",30,25))+B604*0.5+INT(Summary!M617*20)</f>
        <v>564</v>
      </c>
      <c r="G604">
        <f>ROUND(IF(OR(ISERROR(FIND(Summary!$P$89,CONCATENATE(C604,D604,E604))),ISERROR(FIND(Summary!$Q$89,A604))),Summary!$R$45,IF(H604&gt;Summary!$V$3,Summary!$R$46,Summary!$R$45))*(B604+30),0)</f>
        <v>11</v>
      </c>
      <c r="H604">
        <f>IF(H603&gt;Summary!$V$4,0,H603+F603)</f>
        <v>35521</v>
      </c>
      <c r="I604" s="26">
        <f>DATE(YEAR(Summary!$V$2),MONTH(Summary!$V$2),DAY(Summary!$V$2)+INT(H604/480))</f>
        <v>43664</v>
      </c>
      <c r="J604" s="27">
        <f t="shared" si="10"/>
        <v>0.33402777777777781</v>
      </c>
    </row>
    <row r="605" spans="1:10">
      <c r="A605" t="str">
        <f>VLOOKUP(Summary!M604,Summary!$P$13:$Q$24,2)</f>
        <v>B1700-sky</v>
      </c>
      <c r="B605">
        <f>ROUND(NORMINV(Summary!M606,VLOOKUP(A605,Summary!$Q$13:$S$24,3,FALSE),VLOOKUP(A605,Summary!$Q$13:$S$24,3,FALSE)/6),-1)</f>
        <v>630</v>
      </c>
      <c r="C605" t="str">
        <f>IF(AND(H605=0,C604=Summary!$P$2),Summary!$Q$2,IF(AND(H605=0,C604=Summary!$Q$2),Summary!$R$2,C604))</f>
        <v>Reed</v>
      </c>
      <c r="D605" t="str">
        <f>IF(C605=Summary!$P$26,VLOOKUP(Summary!M612,Summary!$Q$26:$R$27,2),IF('Run Data'!C605=Summary!$P$28,VLOOKUP(Summary!M612,Summary!$Q$28:$R$29,2),VLOOKUP(Summary!M612,Summary!$Q$30:$R$32,2)))</f>
        <v>Sprig 4</v>
      </c>
      <c r="E605" t="str">
        <f>VLOOKUP(Summary!M615,Summary!$P$42:$Q$43,2)</f>
        <v>87b</v>
      </c>
      <c r="F605">
        <f>IF(LEFT(A605,3)="B60",20,IF(LEFT(A605,3)="B12",30,25))+B605*0.5+INT(Summary!M618*20)</f>
        <v>343</v>
      </c>
      <c r="G605">
        <f>ROUND(IF(OR(ISERROR(FIND(Summary!$P$89,CONCATENATE(C605,D605,E605))),ISERROR(FIND(Summary!$Q$89,A605))),Summary!$R$45,IF(H605&gt;Summary!$V$3,Summary!$R$46,Summary!$R$45))*(B605+30),0)</f>
        <v>7</v>
      </c>
      <c r="H605">
        <f>IF(H604&gt;Summary!$V$4,0,H604+F604)</f>
        <v>36085</v>
      </c>
      <c r="I605" s="26">
        <f>DATE(YEAR(Summary!$V$2),MONTH(Summary!$V$2),DAY(Summary!$V$2)+INT(H605/480))</f>
        <v>43665</v>
      </c>
      <c r="J605" s="27">
        <f t="shared" si="10"/>
        <v>0.3923611111111111</v>
      </c>
    </row>
    <row r="606" spans="1:10">
      <c r="A606" t="str">
        <f>VLOOKUP(Summary!M605,Summary!$P$13:$Q$24,2)</f>
        <v>B1200-plum</v>
      </c>
      <c r="B606">
        <f>ROUND(NORMINV(Summary!M607,VLOOKUP(A606,Summary!$Q$13:$S$24,3,FALSE),VLOOKUP(A606,Summary!$Q$13:$S$24,3,FALSE)/6),-1)</f>
        <v>460</v>
      </c>
      <c r="C606" t="str">
        <f>IF(AND(H606=0,C605=Summary!$P$2),Summary!$Q$2,IF(AND(H606=0,C605=Summary!$Q$2),Summary!$R$2,C605))</f>
        <v>Reed</v>
      </c>
      <c r="D606" t="str">
        <f>IF(C606=Summary!$P$26,VLOOKUP(Summary!M613,Summary!$Q$26:$R$27,2),IF('Run Data'!C606=Summary!$P$28,VLOOKUP(Summary!M613,Summary!$Q$28:$R$29,2),VLOOKUP(Summary!M613,Summary!$Q$30:$R$32,2)))</f>
        <v>Sprig 2</v>
      </c>
      <c r="E606" t="str">
        <f>VLOOKUP(Summary!M616,Summary!$P$42:$Q$43,2)</f>
        <v>86</v>
      </c>
      <c r="F606">
        <f>IF(LEFT(A606,3)="B60",20,IF(LEFT(A606,3)="B12",30,25))+B606*0.5+INT(Summary!M619*20)</f>
        <v>279</v>
      </c>
      <c r="G606">
        <f>ROUND(IF(OR(ISERROR(FIND(Summary!$P$89,CONCATENATE(C606,D606,E606))),ISERROR(FIND(Summary!$Q$89,A606))),Summary!$R$45,IF(H606&gt;Summary!$V$3,Summary!$R$46,Summary!$R$45))*(B606+30),0)</f>
        <v>5</v>
      </c>
      <c r="H606">
        <f>IF(H605&gt;Summary!$V$4,0,H605+F605)</f>
        <v>36428</v>
      </c>
      <c r="I606" s="26">
        <f>DATE(YEAR(Summary!$V$2),MONTH(Summary!$V$2),DAY(Summary!$V$2)+INT(H606/480))</f>
        <v>43665</v>
      </c>
      <c r="J606" s="27">
        <f t="shared" si="10"/>
        <v>0.63055555555555554</v>
      </c>
    </row>
    <row r="607" spans="1:10">
      <c r="A607" t="str">
        <f>VLOOKUP(Summary!M606,Summary!$P$13:$Q$24,2)</f>
        <v>B1700-sky</v>
      </c>
      <c r="B607">
        <f>ROUND(NORMINV(Summary!M608,VLOOKUP(A607,Summary!$Q$13:$S$24,3,FALSE),VLOOKUP(A607,Summary!$Q$13:$S$24,3,FALSE)/6),-1)</f>
        <v>450</v>
      </c>
      <c r="C607" t="str">
        <f>IF(AND(H607=0,C606=Summary!$P$2),Summary!$Q$2,IF(AND(H607=0,C606=Summary!$Q$2),Summary!$R$2,C606))</f>
        <v>Reed</v>
      </c>
      <c r="D607" t="str">
        <f>IF(C607=Summary!$P$26,VLOOKUP(Summary!M614,Summary!$Q$26:$R$27,2),IF('Run Data'!C607=Summary!$P$28,VLOOKUP(Summary!M614,Summary!$Q$28:$R$29,2),VLOOKUP(Summary!M614,Summary!$Q$30:$R$32,2)))</f>
        <v>Sprig 4</v>
      </c>
      <c r="E607" t="str">
        <f>VLOOKUP(Summary!M617,Summary!$P$42:$Q$43,2)</f>
        <v>86</v>
      </c>
      <c r="F607">
        <f>IF(LEFT(A607,3)="B60",20,IF(LEFT(A607,3)="B12",30,25))+B607*0.5+INT(Summary!M620*20)</f>
        <v>262</v>
      </c>
      <c r="G607">
        <f>ROUND(IF(OR(ISERROR(FIND(Summary!$P$89,CONCATENATE(C607,D607,E607))),ISERROR(FIND(Summary!$Q$89,A607))),Summary!$R$45,IF(H607&gt;Summary!$V$3,Summary!$R$46,Summary!$R$45))*(B607+30),0)</f>
        <v>5</v>
      </c>
      <c r="H607">
        <f>IF(H606&gt;Summary!$V$4,0,H606+F606)</f>
        <v>36707</v>
      </c>
      <c r="I607" s="26">
        <f>DATE(YEAR(Summary!$V$2),MONTH(Summary!$V$2),DAY(Summary!$V$2)+INT(H607/480))</f>
        <v>43666</v>
      </c>
      <c r="J607" s="27">
        <f t="shared" si="10"/>
        <v>0.4909722222222222</v>
      </c>
    </row>
    <row r="608" spans="1:10">
      <c r="A608" t="str">
        <f>VLOOKUP(Summary!M607,Summary!$P$13:$Q$24,2)</f>
        <v>B1200-lime</v>
      </c>
      <c r="B608">
        <f>ROUND(NORMINV(Summary!M609,VLOOKUP(A608,Summary!$Q$13:$S$24,3,FALSE),VLOOKUP(A608,Summary!$Q$13:$S$24,3,FALSE)/6),-1)</f>
        <v>810</v>
      </c>
      <c r="C608" t="str">
        <f>IF(AND(H608=0,C607=Summary!$P$2),Summary!$Q$2,IF(AND(H608=0,C607=Summary!$Q$2),Summary!$R$2,C607))</f>
        <v>Reed</v>
      </c>
      <c r="D608" t="str">
        <f>IF(C608=Summary!$P$26,VLOOKUP(Summary!M615,Summary!$Q$26:$R$27,2),IF('Run Data'!C608=Summary!$P$28,VLOOKUP(Summary!M615,Summary!$Q$28:$R$29,2),VLOOKUP(Summary!M615,Summary!$Q$30:$R$32,2)))</f>
        <v>Sprig 4</v>
      </c>
      <c r="E608" t="str">
        <f>VLOOKUP(Summary!M618,Summary!$P$42:$Q$43,2)</f>
        <v>86</v>
      </c>
      <c r="F608">
        <f>IF(LEFT(A608,3)="B60",20,IF(LEFT(A608,3)="B12",30,25))+B608*0.5+INT(Summary!M621*20)</f>
        <v>439</v>
      </c>
      <c r="G608">
        <f>ROUND(IF(OR(ISERROR(FIND(Summary!$P$89,CONCATENATE(C608,D608,E608))),ISERROR(FIND(Summary!$Q$89,A608))),Summary!$R$45,IF(H608&gt;Summary!$V$3,Summary!$R$46,Summary!$R$45))*(B608+30),0)</f>
        <v>8</v>
      </c>
      <c r="H608">
        <f>IF(H607&gt;Summary!$V$4,0,H607+F607)</f>
        <v>36969</v>
      </c>
      <c r="I608" s="26">
        <f>DATE(YEAR(Summary!$V$2),MONTH(Summary!$V$2),DAY(Summary!$V$2)+INT(H608/480))</f>
        <v>43667</v>
      </c>
      <c r="J608" s="27">
        <f t="shared" si="10"/>
        <v>0.33958333333333335</v>
      </c>
    </row>
    <row r="609" spans="1:10">
      <c r="A609" t="str">
        <f>VLOOKUP(Summary!M608,Summary!$P$13:$Q$24,2)</f>
        <v>B600-fire</v>
      </c>
      <c r="B609">
        <f>ROUND(NORMINV(Summary!M610,VLOOKUP(A609,Summary!$Q$13:$S$24,3,FALSE),VLOOKUP(A609,Summary!$Q$13:$S$24,3,FALSE)/6),-1)</f>
        <v>460</v>
      </c>
      <c r="C609" t="str">
        <f>IF(AND(H609=0,C608=Summary!$P$2),Summary!$Q$2,IF(AND(H609=0,C608=Summary!$Q$2),Summary!$R$2,C608))</f>
        <v>Reed</v>
      </c>
      <c r="D609" t="str">
        <f>IF(C609=Summary!$P$26,VLOOKUP(Summary!M616,Summary!$Q$26:$R$27,2),IF('Run Data'!C609=Summary!$P$28,VLOOKUP(Summary!M616,Summary!$Q$28:$R$29,2),VLOOKUP(Summary!M616,Summary!$Q$30:$R$32,2)))</f>
        <v>Sprig 2</v>
      </c>
      <c r="E609" t="str">
        <f>VLOOKUP(Summary!M619,Summary!$P$42:$Q$43,2)</f>
        <v>87b</v>
      </c>
      <c r="F609">
        <f>IF(LEFT(A609,3)="B60",20,IF(LEFT(A609,3)="B12",30,25))+B609*0.5+INT(Summary!M622*20)</f>
        <v>267</v>
      </c>
      <c r="G609">
        <f>ROUND(IF(OR(ISERROR(FIND(Summary!$P$89,CONCATENATE(C609,D609,E609))),ISERROR(FIND(Summary!$Q$89,A609))),Summary!$R$45,IF(H609&gt;Summary!$V$3,Summary!$R$46,Summary!$R$45))*(B609+30),0)</f>
        <v>5</v>
      </c>
      <c r="H609">
        <f>IF(H608&gt;Summary!$V$4,0,H608+F608)</f>
        <v>37408</v>
      </c>
      <c r="I609" s="26">
        <f>DATE(YEAR(Summary!$V$2),MONTH(Summary!$V$2),DAY(Summary!$V$2)+INT(H609/480))</f>
        <v>43667</v>
      </c>
      <c r="J609" s="27">
        <f t="shared" si="10"/>
        <v>0.64444444444444449</v>
      </c>
    </row>
    <row r="610" spans="1:10">
      <c r="A610" t="str">
        <f>VLOOKUP(Summary!M609,Summary!$P$13:$Q$24,2)</f>
        <v>B1200-fire</v>
      </c>
      <c r="B610">
        <f>ROUND(NORMINV(Summary!M611,VLOOKUP(A610,Summary!$Q$13:$S$24,3,FALSE),VLOOKUP(A610,Summary!$Q$13:$S$24,3,FALSE)/6),-1)</f>
        <v>1130</v>
      </c>
      <c r="C610" t="str">
        <f>IF(AND(H610=0,C609=Summary!$P$2),Summary!$Q$2,IF(AND(H610=0,C609=Summary!$Q$2),Summary!$R$2,C609))</f>
        <v>Reed</v>
      </c>
      <c r="D610" t="str">
        <f>IF(C610=Summary!$P$26,VLOOKUP(Summary!M617,Summary!$Q$26:$R$27,2),IF('Run Data'!C610=Summary!$P$28,VLOOKUP(Summary!M617,Summary!$Q$28:$R$29,2),VLOOKUP(Summary!M617,Summary!$Q$30:$R$32,2)))</f>
        <v>Sprig 2</v>
      </c>
      <c r="E610" t="str">
        <f>VLOOKUP(Summary!M620,Summary!$P$42:$Q$43,2)</f>
        <v>86</v>
      </c>
      <c r="F610">
        <f>IF(LEFT(A610,3)="B60",20,IF(LEFT(A610,3)="B12",30,25))+B610*0.5+INT(Summary!M623*20)</f>
        <v>609</v>
      </c>
      <c r="G610">
        <f>ROUND(IF(OR(ISERROR(FIND(Summary!$P$89,CONCATENATE(C610,D610,E610))),ISERROR(FIND(Summary!$Q$89,A610))),Summary!$R$45,IF(H610&gt;Summary!$V$3,Summary!$R$46,Summary!$R$45))*(B610+30),0)</f>
        <v>12</v>
      </c>
      <c r="H610">
        <f>IF(H609&gt;Summary!$V$4,0,H609+F609)</f>
        <v>37675</v>
      </c>
      <c r="I610" s="26">
        <f>DATE(YEAR(Summary!$V$2),MONTH(Summary!$V$2),DAY(Summary!$V$2)+INT(H610/480))</f>
        <v>43668</v>
      </c>
      <c r="J610" s="27">
        <f t="shared" si="10"/>
        <v>0.49652777777777773</v>
      </c>
    </row>
    <row r="611" spans="1:10">
      <c r="A611" t="str">
        <f>VLOOKUP(Summary!M610,Summary!$P$13:$Q$24,2)</f>
        <v>B1700-sky</v>
      </c>
      <c r="B611">
        <f>ROUND(NORMINV(Summary!M612,VLOOKUP(A611,Summary!$Q$13:$S$24,3,FALSE),VLOOKUP(A611,Summary!$Q$13:$S$24,3,FALSE)/6),-1)</f>
        <v>780</v>
      </c>
      <c r="C611" t="str">
        <f>IF(AND(H611=0,C610=Summary!$P$2),Summary!$Q$2,IF(AND(H611=0,C610=Summary!$Q$2),Summary!$R$2,C610))</f>
        <v>Reed</v>
      </c>
      <c r="D611" t="str">
        <f>IF(C611=Summary!$P$26,VLOOKUP(Summary!M618,Summary!$Q$26:$R$27,2),IF('Run Data'!C611=Summary!$P$28,VLOOKUP(Summary!M618,Summary!$Q$28:$R$29,2),VLOOKUP(Summary!M618,Summary!$Q$30:$R$32,2)))</f>
        <v>Sprig 2</v>
      </c>
      <c r="E611" t="str">
        <f>VLOOKUP(Summary!M621,Summary!$P$42:$Q$43,2)</f>
        <v>86</v>
      </c>
      <c r="F611">
        <f>IF(LEFT(A611,3)="B60",20,IF(LEFT(A611,3)="B12",30,25))+B611*0.5+INT(Summary!M624*20)</f>
        <v>431</v>
      </c>
      <c r="G611">
        <f>ROUND(IF(OR(ISERROR(FIND(Summary!$P$89,CONCATENATE(C611,D611,E611))),ISERROR(FIND(Summary!$Q$89,A611))),Summary!$R$45,IF(H611&gt;Summary!$V$3,Summary!$R$46,Summary!$R$45))*(B611+30),0)</f>
        <v>8</v>
      </c>
      <c r="H611">
        <f>IF(H610&gt;Summary!$V$4,0,H610+F610)</f>
        <v>38284</v>
      </c>
      <c r="I611" s="26">
        <f>DATE(YEAR(Summary!$V$2),MONTH(Summary!$V$2),DAY(Summary!$V$2)+INT(H611/480))</f>
        <v>43669</v>
      </c>
      <c r="J611" s="27">
        <f t="shared" si="10"/>
        <v>0.58611111111111114</v>
      </c>
    </row>
    <row r="612" spans="1:10">
      <c r="A612" t="str">
        <f>VLOOKUP(Summary!M611,Summary!$P$13:$Q$24,2)</f>
        <v>B1200-sky</v>
      </c>
      <c r="B612">
        <f>ROUND(NORMINV(Summary!M613,VLOOKUP(A612,Summary!$Q$13:$S$24,3,FALSE),VLOOKUP(A612,Summary!$Q$13:$S$24,3,FALSE)/6),-1)</f>
        <v>1090</v>
      </c>
      <c r="C612" t="str">
        <f>IF(AND(H612=0,C611=Summary!$P$2),Summary!$Q$2,IF(AND(H612=0,C611=Summary!$Q$2),Summary!$R$2,C611))</f>
        <v>Reed</v>
      </c>
      <c r="D612" t="str">
        <f>IF(C612=Summary!$P$26,VLOOKUP(Summary!M619,Summary!$Q$26:$R$27,2),IF('Run Data'!C612=Summary!$P$28,VLOOKUP(Summary!M619,Summary!$Q$28:$R$29,2),VLOOKUP(Summary!M619,Summary!$Q$30:$R$32,2)))</f>
        <v>Sprig 4</v>
      </c>
      <c r="E612" t="str">
        <f>VLOOKUP(Summary!M622,Summary!$P$42:$Q$43,2)</f>
        <v>87b</v>
      </c>
      <c r="F612">
        <f>IF(LEFT(A612,3)="B60",20,IF(LEFT(A612,3)="B12",30,25))+B612*0.5+INT(Summary!M625*20)</f>
        <v>588</v>
      </c>
      <c r="G612">
        <f>ROUND(IF(OR(ISERROR(FIND(Summary!$P$89,CONCATENATE(C612,D612,E612))),ISERROR(FIND(Summary!$Q$89,A612))),Summary!$R$45,IF(H612&gt;Summary!$V$3,Summary!$R$46,Summary!$R$45))*(B612+30),0)</f>
        <v>11</v>
      </c>
      <c r="H612">
        <f>IF(H611&gt;Summary!$V$4,0,H611+F611)</f>
        <v>38715</v>
      </c>
      <c r="I612" s="26">
        <f>DATE(YEAR(Summary!$V$2),MONTH(Summary!$V$2),DAY(Summary!$V$2)+INT(H612/480))</f>
        <v>43670</v>
      </c>
      <c r="J612" s="27">
        <f t="shared" si="10"/>
        <v>0.55208333333333337</v>
      </c>
    </row>
    <row r="613" spans="1:10">
      <c r="A613" t="str">
        <f>VLOOKUP(Summary!M612,Summary!$P$13:$Q$24,2)</f>
        <v>B1700-lime</v>
      </c>
      <c r="B613">
        <f>ROUND(NORMINV(Summary!M614,VLOOKUP(A613,Summary!$Q$13:$S$24,3,FALSE),VLOOKUP(A613,Summary!$Q$13:$S$24,3,FALSE)/6),-1)</f>
        <v>480</v>
      </c>
      <c r="C613" t="str">
        <f>IF(AND(H613=0,C612=Summary!$P$2),Summary!$Q$2,IF(AND(H613=0,C612=Summary!$Q$2),Summary!$R$2,C612))</f>
        <v>Reed</v>
      </c>
      <c r="D613" t="str">
        <f>IF(C613=Summary!$P$26,VLOOKUP(Summary!M620,Summary!$Q$26:$R$27,2),IF('Run Data'!C613=Summary!$P$28,VLOOKUP(Summary!M620,Summary!$Q$28:$R$29,2),VLOOKUP(Summary!M620,Summary!$Q$30:$R$32,2)))</f>
        <v>Sprig 2</v>
      </c>
      <c r="E613" t="str">
        <f>VLOOKUP(Summary!M623,Summary!$P$42:$Q$43,2)</f>
        <v>86</v>
      </c>
      <c r="F613">
        <f>IF(LEFT(A613,3)="B60",20,IF(LEFT(A613,3)="B12",30,25))+B613*0.5+INT(Summary!M626*20)</f>
        <v>283</v>
      </c>
      <c r="G613">
        <f>ROUND(IF(OR(ISERROR(FIND(Summary!$P$89,CONCATENATE(C613,D613,E613))),ISERROR(FIND(Summary!$Q$89,A613))),Summary!$R$45,IF(H613&gt;Summary!$V$3,Summary!$R$46,Summary!$R$45))*(B613+30),0)</f>
        <v>5</v>
      </c>
      <c r="H613">
        <f>IF(H612&gt;Summary!$V$4,0,H612+F612)</f>
        <v>39303</v>
      </c>
      <c r="I613" s="26">
        <f>DATE(YEAR(Summary!$V$2),MONTH(Summary!$V$2),DAY(Summary!$V$2)+INT(H613/480))</f>
        <v>43671</v>
      </c>
      <c r="J613" s="27">
        <f t="shared" si="10"/>
        <v>0.62708333333333333</v>
      </c>
    </row>
    <row r="614" spans="1:10">
      <c r="A614" t="str">
        <f>VLOOKUP(Summary!M613,Summary!$P$13:$Q$24,2)</f>
        <v>B1200-plum</v>
      </c>
      <c r="B614">
        <f>ROUND(NORMINV(Summary!M615,VLOOKUP(A614,Summary!$Q$13:$S$24,3,FALSE),VLOOKUP(A614,Summary!$Q$13:$S$24,3,FALSE)/6),-1)</f>
        <v>560</v>
      </c>
      <c r="C614" t="str">
        <f>IF(AND(H614=0,C613=Summary!$P$2),Summary!$Q$2,IF(AND(H614=0,C613=Summary!$Q$2),Summary!$R$2,C613))</f>
        <v>Reed</v>
      </c>
      <c r="D614" t="str">
        <f>IF(C614=Summary!$P$26,VLOOKUP(Summary!M621,Summary!$Q$26:$R$27,2),IF('Run Data'!C614=Summary!$P$28,VLOOKUP(Summary!M621,Summary!$Q$28:$R$29,2),VLOOKUP(Summary!M621,Summary!$Q$30:$R$32,2)))</f>
        <v>Sprig 2</v>
      </c>
      <c r="E614" t="str">
        <f>VLOOKUP(Summary!M624,Summary!$P$42:$Q$43,2)</f>
        <v>86</v>
      </c>
      <c r="F614">
        <f>IF(LEFT(A614,3)="B60",20,IF(LEFT(A614,3)="B12",30,25))+B614*0.5+INT(Summary!M627*20)</f>
        <v>320</v>
      </c>
      <c r="G614">
        <f>ROUND(IF(OR(ISERROR(FIND(Summary!$P$89,CONCATENATE(C614,D614,E614))),ISERROR(FIND(Summary!$Q$89,A614))),Summary!$R$45,IF(H614&gt;Summary!$V$3,Summary!$R$46,Summary!$R$45))*(B614+30),0)</f>
        <v>6</v>
      </c>
      <c r="H614">
        <f>IF(H613&gt;Summary!$V$4,0,H613+F613)</f>
        <v>39586</v>
      </c>
      <c r="I614" s="26">
        <f>DATE(YEAR(Summary!$V$2),MONTH(Summary!$V$2),DAY(Summary!$V$2)+INT(H614/480))</f>
        <v>43672</v>
      </c>
      <c r="J614" s="27">
        <f t="shared" si="10"/>
        <v>0.49027777777777781</v>
      </c>
    </row>
    <row r="615" spans="1:10">
      <c r="A615" t="str">
        <f>VLOOKUP(Summary!M614,Summary!$P$13:$Q$24,2)</f>
        <v>B1700-fire</v>
      </c>
      <c r="B615">
        <f>ROUND(NORMINV(Summary!M616,VLOOKUP(A615,Summary!$Q$13:$S$24,3,FALSE),VLOOKUP(A615,Summary!$Q$13:$S$24,3,FALSE)/6),-1)</f>
        <v>630</v>
      </c>
      <c r="C615" t="str">
        <f>IF(AND(H615=0,C614=Summary!$P$2),Summary!$Q$2,IF(AND(H615=0,C614=Summary!$Q$2),Summary!$R$2,C614))</f>
        <v>Reed</v>
      </c>
      <c r="D615" t="str">
        <f>IF(C615=Summary!$P$26,VLOOKUP(Summary!M622,Summary!$Q$26:$R$27,2),IF('Run Data'!C615=Summary!$P$28,VLOOKUP(Summary!M622,Summary!$Q$28:$R$29,2),VLOOKUP(Summary!M622,Summary!$Q$30:$R$32,2)))</f>
        <v>Sprig 4</v>
      </c>
      <c r="E615" t="str">
        <f>VLOOKUP(Summary!M625,Summary!$P$42:$Q$43,2)</f>
        <v>86</v>
      </c>
      <c r="F615">
        <f>IF(LEFT(A615,3)="B60",20,IF(LEFT(A615,3)="B12",30,25))+B615*0.5+INT(Summary!M628*20)</f>
        <v>358</v>
      </c>
      <c r="G615">
        <f>ROUND(IF(OR(ISERROR(FIND(Summary!$P$89,CONCATENATE(C615,D615,E615))),ISERROR(FIND(Summary!$Q$89,A615))),Summary!$R$45,IF(H615&gt;Summary!$V$3,Summary!$R$46,Summary!$R$45))*(B615+30),0)</f>
        <v>7</v>
      </c>
      <c r="H615">
        <f>IF(H614&gt;Summary!$V$4,0,H614+F614)</f>
        <v>39906</v>
      </c>
      <c r="I615" s="26">
        <f>DATE(YEAR(Summary!$V$2),MONTH(Summary!$V$2),DAY(Summary!$V$2)+INT(H615/480))</f>
        <v>43673</v>
      </c>
      <c r="J615" s="27">
        <f t="shared" si="10"/>
        <v>0.37916666666666665</v>
      </c>
    </row>
    <row r="616" spans="1:10">
      <c r="A616" t="str">
        <f>VLOOKUP(Summary!M615,Summary!$P$13:$Q$24,2)</f>
        <v>B1700-lime</v>
      </c>
      <c r="B616">
        <f>ROUND(NORMINV(Summary!M617,VLOOKUP(A616,Summary!$Q$13:$S$24,3,FALSE),VLOOKUP(A616,Summary!$Q$13:$S$24,3,FALSE)/6),-1)</f>
        <v>400</v>
      </c>
      <c r="C616" t="str">
        <f>IF(AND(H616=0,C615=Summary!$P$2),Summary!$Q$2,IF(AND(H616=0,C615=Summary!$Q$2),Summary!$R$2,C615))</f>
        <v>Reed</v>
      </c>
      <c r="D616" t="str">
        <f>IF(C616=Summary!$P$26,VLOOKUP(Summary!M623,Summary!$Q$26:$R$27,2),IF('Run Data'!C616=Summary!$P$28,VLOOKUP(Summary!M623,Summary!$Q$28:$R$29,2),VLOOKUP(Summary!M623,Summary!$Q$30:$R$32,2)))</f>
        <v>Sprig 2</v>
      </c>
      <c r="E616" t="str">
        <f>VLOOKUP(Summary!M626,Summary!$P$42:$Q$43,2)</f>
        <v>87b</v>
      </c>
      <c r="F616">
        <f>IF(LEFT(A616,3)="B60",20,IF(LEFT(A616,3)="B12",30,25))+B616*0.5+INT(Summary!M629*20)</f>
        <v>240</v>
      </c>
      <c r="G616">
        <f>ROUND(IF(OR(ISERROR(FIND(Summary!$P$89,CONCATENATE(C616,D616,E616))),ISERROR(FIND(Summary!$Q$89,A616))),Summary!$R$45,IF(H616&gt;Summary!$V$3,Summary!$R$46,Summary!$R$45))*(B616+30),0)</f>
        <v>4</v>
      </c>
      <c r="H616">
        <f>IF(H615&gt;Summary!$V$4,0,H615+F615)</f>
        <v>40264</v>
      </c>
      <c r="I616" s="26">
        <f>DATE(YEAR(Summary!$V$2),MONTH(Summary!$V$2),DAY(Summary!$V$2)+INT(H616/480))</f>
        <v>43673</v>
      </c>
      <c r="J616" s="27">
        <f t="shared" si="10"/>
        <v>0.62777777777777777</v>
      </c>
    </row>
    <row r="617" spans="1:10">
      <c r="A617" t="str">
        <f>VLOOKUP(Summary!M616,Summary!$P$13:$Q$24,2)</f>
        <v>B600-fire</v>
      </c>
      <c r="B617">
        <f>ROUND(NORMINV(Summary!M618,VLOOKUP(A617,Summary!$Q$13:$S$24,3,FALSE),VLOOKUP(A617,Summary!$Q$13:$S$24,3,FALSE)/6),-1)</f>
        <v>340</v>
      </c>
      <c r="C617" t="str">
        <f>IF(AND(H617=0,C616=Summary!$P$2),Summary!$Q$2,IF(AND(H617=0,C616=Summary!$Q$2),Summary!$R$2,C616))</f>
        <v>Reed</v>
      </c>
      <c r="D617" t="str">
        <f>IF(C617=Summary!$P$26,VLOOKUP(Summary!M624,Summary!$Q$26:$R$27,2),IF('Run Data'!C617=Summary!$P$28,VLOOKUP(Summary!M624,Summary!$Q$28:$R$29,2),VLOOKUP(Summary!M624,Summary!$Q$30:$R$32,2)))</f>
        <v>Sprig 4</v>
      </c>
      <c r="E617" t="str">
        <f>VLOOKUP(Summary!M627,Summary!$P$42:$Q$43,2)</f>
        <v>86</v>
      </c>
      <c r="F617">
        <f>IF(LEFT(A617,3)="B60",20,IF(LEFT(A617,3)="B12",30,25))+B617*0.5+INT(Summary!M630*20)</f>
        <v>198</v>
      </c>
      <c r="G617">
        <f>ROUND(IF(OR(ISERROR(FIND(Summary!$P$89,CONCATENATE(C617,D617,E617))),ISERROR(FIND(Summary!$Q$89,A617))),Summary!$R$45,IF(H617&gt;Summary!$V$3,Summary!$R$46,Summary!$R$45))*(B617+30),0)</f>
        <v>4</v>
      </c>
      <c r="H617">
        <f>IF(H616&gt;Summary!$V$4,0,H616+F616)</f>
        <v>40504</v>
      </c>
      <c r="I617" s="26">
        <f>DATE(YEAR(Summary!$V$2),MONTH(Summary!$V$2),DAY(Summary!$V$2)+INT(H617/480))</f>
        <v>43674</v>
      </c>
      <c r="J617" s="27">
        <f t="shared" si="10"/>
        <v>0.46111111111111108</v>
      </c>
    </row>
    <row r="618" spans="1:10">
      <c r="A618" t="str">
        <f>VLOOKUP(Summary!M617,Summary!$P$13:$Q$24,2)</f>
        <v>B1200-fire</v>
      </c>
      <c r="B618">
        <f>ROUND(NORMINV(Summary!M619,VLOOKUP(A618,Summary!$Q$13:$S$24,3,FALSE),VLOOKUP(A618,Summary!$Q$13:$S$24,3,FALSE)/6),-1)</f>
        <v>1590</v>
      </c>
      <c r="C618" t="str">
        <f>IF(AND(H618=0,C617=Summary!$P$2),Summary!$Q$2,IF(AND(H618=0,C617=Summary!$Q$2),Summary!$R$2,C617))</f>
        <v>Reed</v>
      </c>
      <c r="D618" t="str">
        <f>IF(C618=Summary!$P$26,VLOOKUP(Summary!M625,Summary!$Q$26:$R$27,2),IF('Run Data'!C618=Summary!$P$28,VLOOKUP(Summary!M625,Summary!$Q$28:$R$29,2),VLOOKUP(Summary!M625,Summary!$Q$30:$R$32,2)))</f>
        <v>Sprig 2</v>
      </c>
      <c r="E618" t="str">
        <f>VLOOKUP(Summary!M628,Summary!$P$42:$Q$43,2)</f>
        <v>87b</v>
      </c>
      <c r="F618">
        <f>IF(LEFT(A618,3)="B60",20,IF(LEFT(A618,3)="B12",30,25))+B618*0.5+INT(Summary!M631*20)</f>
        <v>842</v>
      </c>
      <c r="G618">
        <f>ROUND(IF(OR(ISERROR(FIND(Summary!$P$89,CONCATENATE(C618,D618,E618))),ISERROR(FIND(Summary!$Q$89,A618))),Summary!$R$45,IF(H618&gt;Summary!$V$3,Summary!$R$46,Summary!$R$45))*(B618+30),0)</f>
        <v>16</v>
      </c>
      <c r="H618">
        <f>IF(H617&gt;Summary!$V$4,0,H617+F617)</f>
        <v>40702</v>
      </c>
      <c r="I618" s="26">
        <f>DATE(YEAR(Summary!$V$2),MONTH(Summary!$V$2),DAY(Summary!$V$2)+INT(H618/480))</f>
        <v>43674</v>
      </c>
      <c r="J618" s="27">
        <f t="shared" si="10"/>
        <v>0.59861111111111109</v>
      </c>
    </row>
    <row r="619" spans="1:10">
      <c r="A619" t="str">
        <f>VLOOKUP(Summary!M618,Summary!$P$13:$Q$24,2)</f>
        <v>B600-lime</v>
      </c>
      <c r="B619">
        <f>ROUND(NORMINV(Summary!M620,VLOOKUP(A619,Summary!$Q$13:$S$24,3,FALSE),VLOOKUP(A619,Summary!$Q$13:$S$24,3,FALSE)/6),-1)</f>
        <v>310</v>
      </c>
      <c r="C619" t="str">
        <f>IF(AND(H619=0,C618=Summary!$P$2),Summary!$Q$2,IF(AND(H619=0,C618=Summary!$Q$2),Summary!$R$2,C618))</f>
        <v>Reed</v>
      </c>
      <c r="D619" t="str">
        <f>IF(C619=Summary!$P$26,VLOOKUP(Summary!M626,Summary!$Q$26:$R$27,2),IF('Run Data'!C619=Summary!$P$28,VLOOKUP(Summary!M626,Summary!$Q$28:$R$29,2),VLOOKUP(Summary!M626,Summary!$Q$30:$R$32,2)))</f>
        <v>Sprig 4</v>
      </c>
      <c r="E619" t="str">
        <f>VLOOKUP(Summary!M629,Summary!$P$42:$Q$43,2)</f>
        <v>86</v>
      </c>
      <c r="F619">
        <f>IF(LEFT(A619,3)="B60",20,IF(LEFT(A619,3)="B12",30,25))+B619*0.5+INT(Summary!M632*20)</f>
        <v>191</v>
      </c>
      <c r="G619">
        <f>ROUND(IF(OR(ISERROR(FIND(Summary!$P$89,CONCATENATE(C619,D619,E619))),ISERROR(FIND(Summary!$Q$89,A619))),Summary!$R$45,IF(H619&gt;Summary!$V$3,Summary!$R$46,Summary!$R$45))*(B619+30),0)</f>
        <v>3</v>
      </c>
      <c r="H619">
        <f>IF(H618&gt;Summary!$V$4,0,H618+F618)</f>
        <v>41544</v>
      </c>
      <c r="I619" s="26">
        <f>DATE(YEAR(Summary!$V$2),MONTH(Summary!$V$2),DAY(Summary!$V$2)+INT(H619/480))</f>
        <v>43676</v>
      </c>
      <c r="J619" s="27">
        <f t="shared" si="10"/>
        <v>0.51666666666666672</v>
      </c>
    </row>
    <row r="620" spans="1:10">
      <c r="A620" t="str">
        <f>VLOOKUP(Summary!M619,Summary!$P$13:$Q$24,2)</f>
        <v>B1700-lime</v>
      </c>
      <c r="B620">
        <f>ROUND(NORMINV(Summary!M621,VLOOKUP(A620,Summary!$Q$13:$S$24,3,FALSE),VLOOKUP(A620,Summary!$Q$13:$S$24,3,FALSE)/6),-1)</f>
        <v>350</v>
      </c>
      <c r="C620" t="str">
        <f>IF(AND(H620=0,C619=Summary!$P$2),Summary!$Q$2,IF(AND(H620=0,C619=Summary!$Q$2),Summary!$R$2,C619))</f>
        <v>Reed</v>
      </c>
      <c r="D620" t="str">
        <f>IF(C620=Summary!$P$26,VLOOKUP(Summary!M627,Summary!$Q$26:$R$27,2),IF('Run Data'!C620=Summary!$P$28,VLOOKUP(Summary!M627,Summary!$Q$28:$R$29,2),VLOOKUP(Summary!M627,Summary!$Q$30:$R$32,2)))</f>
        <v>Sprig 2</v>
      </c>
      <c r="E620" t="str">
        <f>VLOOKUP(Summary!M630,Summary!$P$42:$Q$43,2)</f>
        <v>86</v>
      </c>
      <c r="F620">
        <f>IF(LEFT(A620,3)="B60",20,IF(LEFT(A620,3)="B12",30,25))+B620*0.5+INT(Summary!M633*20)</f>
        <v>211</v>
      </c>
      <c r="G620">
        <f>ROUND(IF(OR(ISERROR(FIND(Summary!$P$89,CONCATENATE(C620,D620,E620))),ISERROR(FIND(Summary!$Q$89,A620))),Summary!$R$45,IF(H620&gt;Summary!$V$3,Summary!$R$46,Summary!$R$45))*(B620+30),0)</f>
        <v>4</v>
      </c>
      <c r="H620">
        <f>IF(H619&gt;Summary!$V$4,0,H619+F619)</f>
        <v>41735</v>
      </c>
      <c r="I620" s="26">
        <f>DATE(YEAR(Summary!$V$2),MONTH(Summary!$V$2),DAY(Summary!$V$2)+INT(H620/480))</f>
        <v>43676</v>
      </c>
      <c r="J620" s="27">
        <f t="shared" si="10"/>
        <v>0.64930555555555558</v>
      </c>
    </row>
    <row r="621" spans="1:10">
      <c r="A621" t="str">
        <f>VLOOKUP(Summary!M620,Summary!$P$13:$Q$24,2)</f>
        <v>B1200-lime</v>
      </c>
      <c r="B621">
        <f>ROUND(NORMINV(Summary!M622,VLOOKUP(A621,Summary!$Q$13:$S$24,3,FALSE),VLOOKUP(A621,Summary!$Q$13:$S$24,3,FALSE)/6),-1)</f>
        <v>940</v>
      </c>
      <c r="C621" t="str">
        <f>IF(AND(H621=0,C620=Summary!$P$2),Summary!$Q$2,IF(AND(H621=0,C620=Summary!$Q$2),Summary!$R$2,C620))</f>
        <v>Reed</v>
      </c>
      <c r="D621" t="str">
        <f>IF(C621=Summary!$P$26,VLOOKUP(Summary!M628,Summary!$Q$26:$R$27,2),IF('Run Data'!C621=Summary!$P$28,VLOOKUP(Summary!M628,Summary!$Q$28:$R$29,2),VLOOKUP(Summary!M628,Summary!$Q$30:$R$32,2)))</f>
        <v>Sprig 4</v>
      </c>
      <c r="E621" t="str">
        <f>VLOOKUP(Summary!M631,Summary!$P$42:$Q$43,2)</f>
        <v>87b</v>
      </c>
      <c r="F621">
        <f>IF(LEFT(A621,3)="B60",20,IF(LEFT(A621,3)="B12",30,25))+B621*0.5+INT(Summary!M634*20)</f>
        <v>504</v>
      </c>
      <c r="G621">
        <f>ROUND(IF(OR(ISERROR(FIND(Summary!$P$89,CONCATENATE(C621,D621,E621))),ISERROR(FIND(Summary!$Q$89,A621))),Summary!$R$45,IF(H621&gt;Summary!$V$3,Summary!$R$46,Summary!$R$45))*(B621+30),0)</f>
        <v>10</v>
      </c>
      <c r="H621">
        <f>IF(H620&gt;Summary!$V$4,0,H620+F620)</f>
        <v>41946</v>
      </c>
      <c r="I621" s="26">
        <f>DATE(YEAR(Summary!$V$2),MONTH(Summary!$V$2),DAY(Summary!$V$2)+INT(H621/480))</f>
        <v>43677</v>
      </c>
      <c r="J621" s="27">
        <f t="shared" si="10"/>
        <v>0.46249999999999997</v>
      </c>
    </row>
    <row r="622" spans="1:10">
      <c r="A622" t="str">
        <f>VLOOKUP(Summary!M621,Summary!$P$13:$Q$24,2)</f>
        <v>B1200-plum</v>
      </c>
      <c r="B622">
        <f>ROUND(NORMINV(Summary!M623,VLOOKUP(A622,Summary!$Q$13:$S$24,3,FALSE),VLOOKUP(A622,Summary!$Q$13:$S$24,3,FALSE)/6),-1)</f>
        <v>500</v>
      </c>
      <c r="C622" t="str">
        <f>IF(AND(H622=0,C621=Summary!$P$2),Summary!$Q$2,IF(AND(H622=0,C621=Summary!$Q$2),Summary!$R$2,C621))</f>
        <v>Reed</v>
      </c>
      <c r="D622" t="str">
        <f>IF(C622=Summary!$P$26,VLOOKUP(Summary!M629,Summary!$Q$26:$R$27,2),IF('Run Data'!C622=Summary!$P$28,VLOOKUP(Summary!M629,Summary!$Q$28:$R$29,2),VLOOKUP(Summary!M629,Summary!$Q$30:$R$32,2)))</f>
        <v>Sprig 2</v>
      </c>
      <c r="E622" t="str">
        <f>VLOOKUP(Summary!M632,Summary!$P$42:$Q$43,2)</f>
        <v>86</v>
      </c>
      <c r="F622">
        <f>IF(LEFT(A622,3)="B60",20,IF(LEFT(A622,3)="B12",30,25))+B622*0.5+INT(Summary!M635*20)</f>
        <v>285</v>
      </c>
      <c r="G622">
        <f>ROUND(IF(OR(ISERROR(FIND(Summary!$P$89,CONCATENATE(C622,D622,E622))),ISERROR(FIND(Summary!$Q$89,A622))),Summary!$R$45,IF(H622&gt;Summary!$V$3,Summary!$R$46,Summary!$R$45))*(B622+30),0)</f>
        <v>5</v>
      </c>
      <c r="H622">
        <f>IF(H621&gt;Summary!$V$4,0,H621+F621)</f>
        <v>42450</v>
      </c>
      <c r="I622" s="26">
        <f>DATE(YEAR(Summary!$V$2),MONTH(Summary!$V$2),DAY(Summary!$V$2)+INT(H622/480))</f>
        <v>43678</v>
      </c>
      <c r="J622" s="27">
        <f t="shared" si="10"/>
        <v>0.47916666666666669</v>
      </c>
    </row>
    <row r="623" spans="1:10">
      <c r="A623" t="str">
        <f>VLOOKUP(Summary!M622,Summary!$P$13:$Q$24,2)</f>
        <v>B1700-fire</v>
      </c>
      <c r="B623">
        <f>ROUND(NORMINV(Summary!M624,VLOOKUP(A623,Summary!$Q$13:$S$24,3,FALSE),VLOOKUP(A623,Summary!$Q$13:$S$24,3,FALSE)/6),-1)</f>
        <v>880</v>
      </c>
      <c r="C623" t="str">
        <f>IF(AND(H623=0,C622=Summary!$P$2),Summary!$Q$2,IF(AND(H623=0,C622=Summary!$Q$2),Summary!$R$2,C622))</f>
        <v>Reed</v>
      </c>
      <c r="D623" t="str">
        <f>IF(C623=Summary!$P$26,VLOOKUP(Summary!M630,Summary!$Q$26:$R$27,2),IF('Run Data'!C623=Summary!$P$28,VLOOKUP(Summary!M630,Summary!$Q$28:$R$29,2),VLOOKUP(Summary!M630,Summary!$Q$30:$R$32,2)))</f>
        <v>Sprig 2</v>
      </c>
      <c r="E623" t="str">
        <f>VLOOKUP(Summary!M633,Summary!$P$42:$Q$43,2)</f>
        <v>86</v>
      </c>
      <c r="F623">
        <f>IF(LEFT(A623,3)="B60",20,IF(LEFT(A623,3)="B12",30,25))+B623*0.5+INT(Summary!M636*20)</f>
        <v>469</v>
      </c>
      <c r="G623">
        <f>ROUND(IF(OR(ISERROR(FIND(Summary!$P$89,CONCATENATE(C623,D623,E623))),ISERROR(FIND(Summary!$Q$89,A623))),Summary!$R$45,IF(H623&gt;Summary!$V$3,Summary!$R$46,Summary!$R$45))*(B623+30),0)</f>
        <v>9</v>
      </c>
      <c r="H623">
        <f>IF(H622&gt;Summary!$V$4,0,H622+F622)</f>
        <v>42735</v>
      </c>
      <c r="I623" s="26">
        <f>DATE(YEAR(Summary!$V$2),MONTH(Summary!$V$2),DAY(Summary!$V$2)+INT(H623/480))</f>
        <v>43679</v>
      </c>
      <c r="J623" s="27">
        <f t="shared" si="10"/>
        <v>0.34375</v>
      </c>
    </row>
    <row r="624" spans="1:10">
      <c r="A624" t="str">
        <f>VLOOKUP(Summary!M623,Summary!$P$13:$Q$24,2)</f>
        <v>B1700-plum</v>
      </c>
      <c r="B624">
        <f>ROUND(NORMINV(Summary!M625,VLOOKUP(A624,Summary!$Q$13:$S$24,3,FALSE),VLOOKUP(A624,Summary!$Q$13:$S$24,3,FALSE)/6),-1)</f>
        <v>320</v>
      </c>
      <c r="C624" t="str">
        <f>IF(AND(H624=0,C623=Summary!$P$2),Summary!$Q$2,IF(AND(H624=0,C623=Summary!$Q$2),Summary!$R$2,C623))</f>
        <v>Reed</v>
      </c>
      <c r="D624" t="str">
        <f>IF(C624=Summary!$P$26,VLOOKUP(Summary!M631,Summary!$Q$26:$R$27,2),IF('Run Data'!C624=Summary!$P$28,VLOOKUP(Summary!M631,Summary!$Q$28:$R$29,2),VLOOKUP(Summary!M631,Summary!$Q$30:$R$32,2)))</f>
        <v>Sprig 4</v>
      </c>
      <c r="E624" t="str">
        <f>VLOOKUP(Summary!M634,Summary!$P$42:$Q$43,2)</f>
        <v>86</v>
      </c>
      <c r="F624">
        <f>IF(LEFT(A624,3)="B60",20,IF(LEFT(A624,3)="B12",30,25))+B624*0.5+INT(Summary!M637*20)</f>
        <v>204</v>
      </c>
      <c r="G624">
        <f>ROUND(IF(OR(ISERROR(FIND(Summary!$P$89,CONCATENATE(C624,D624,E624))),ISERROR(FIND(Summary!$Q$89,A624))),Summary!$R$45,IF(H624&gt;Summary!$V$3,Summary!$R$46,Summary!$R$45))*(B624+30),0)</f>
        <v>4</v>
      </c>
      <c r="H624">
        <f>IF(H623&gt;Summary!$V$4,0,H623+F623)</f>
        <v>43204</v>
      </c>
      <c r="I624" s="26">
        <f>DATE(YEAR(Summary!$V$2),MONTH(Summary!$V$2),DAY(Summary!$V$2)+INT(H624/480))</f>
        <v>43680</v>
      </c>
      <c r="J624" s="27">
        <f t="shared" si="10"/>
        <v>0.33611111111111108</v>
      </c>
    </row>
    <row r="625" spans="1:10">
      <c r="A625" t="str">
        <f>VLOOKUP(Summary!M624,Summary!$P$13:$Q$24,2)</f>
        <v>B1700-sky</v>
      </c>
      <c r="B625">
        <f>ROUND(NORMINV(Summary!M626,VLOOKUP(A625,Summary!$Q$13:$S$24,3,FALSE),VLOOKUP(A625,Summary!$Q$13:$S$24,3,FALSE)/6),-1)</f>
        <v>690</v>
      </c>
      <c r="C625" t="str">
        <f>IF(AND(H625=0,C624=Summary!$P$2),Summary!$Q$2,IF(AND(H625=0,C624=Summary!$Q$2),Summary!$R$2,C624))</f>
        <v>Reed</v>
      </c>
      <c r="D625" t="str">
        <f>IF(C625=Summary!$P$26,VLOOKUP(Summary!M632,Summary!$Q$26:$R$27,2),IF('Run Data'!C625=Summary!$P$28,VLOOKUP(Summary!M632,Summary!$Q$28:$R$29,2),VLOOKUP(Summary!M632,Summary!$Q$30:$R$32,2)))</f>
        <v>Sprig 4</v>
      </c>
      <c r="E625" t="str">
        <f>VLOOKUP(Summary!M635,Summary!$P$42:$Q$43,2)</f>
        <v>86</v>
      </c>
      <c r="F625">
        <f>IF(LEFT(A625,3)="B60",20,IF(LEFT(A625,3)="B12",30,25))+B625*0.5+INT(Summary!M638*20)</f>
        <v>379</v>
      </c>
      <c r="G625">
        <f>ROUND(IF(OR(ISERROR(FIND(Summary!$P$89,CONCATENATE(C625,D625,E625))),ISERROR(FIND(Summary!$Q$89,A625))),Summary!$R$45,IF(H625&gt;Summary!$V$3,Summary!$R$46,Summary!$R$45))*(B625+30),0)</f>
        <v>7</v>
      </c>
      <c r="H625">
        <f>IF(H624&gt;Summary!$V$4,0,H624+F624)</f>
        <v>43408</v>
      </c>
      <c r="I625" s="26">
        <f>DATE(YEAR(Summary!$V$2),MONTH(Summary!$V$2),DAY(Summary!$V$2)+INT(H625/480))</f>
        <v>43680</v>
      </c>
      <c r="J625" s="27">
        <f t="shared" si="10"/>
        <v>0.4777777777777778</v>
      </c>
    </row>
    <row r="626" spans="1:10">
      <c r="A626" t="str">
        <f>VLOOKUP(Summary!M625,Summary!$P$13:$Q$24,2)</f>
        <v>B1200-lime</v>
      </c>
      <c r="B626">
        <f>ROUND(NORMINV(Summary!M627,VLOOKUP(A626,Summary!$Q$13:$S$24,3,FALSE),VLOOKUP(A626,Summary!$Q$13:$S$24,3,FALSE)/6),-1)</f>
        <v>810</v>
      </c>
      <c r="C626" t="str">
        <f>IF(AND(H626=0,C625=Summary!$P$2),Summary!$Q$2,IF(AND(H626=0,C625=Summary!$Q$2),Summary!$R$2,C625))</f>
        <v>Reed</v>
      </c>
      <c r="D626" t="str">
        <f>IF(C626=Summary!$P$26,VLOOKUP(Summary!M633,Summary!$Q$26:$R$27,2),IF('Run Data'!C626=Summary!$P$28,VLOOKUP(Summary!M633,Summary!$Q$28:$R$29,2),VLOOKUP(Summary!M633,Summary!$Q$30:$R$32,2)))</f>
        <v>Sprig 2</v>
      </c>
      <c r="E626" t="str">
        <f>VLOOKUP(Summary!M636,Summary!$P$42:$Q$43,2)</f>
        <v>86</v>
      </c>
      <c r="F626">
        <f>IF(LEFT(A626,3)="B60",20,IF(LEFT(A626,3)="B12",30,25))+B626*0.5+INT(Summary!M639*20)</f>
        <v>450</v>
      </c>
      <c r="G626">
        <f>ROUND(IF(OR(ISERROR(FIND(Summary!$P$89,CONCATENATE(C626,D626,E626))),ISERROR(FIND(Summary!$Q$89,A626))),Summary!$R$45,IF(H626&gt;Summary!$V$3,Summary!$R$46,Summary!$R$45))*(B626+30),0)</f>
        <v>8</v>
      </c>
      <c r="H626">
        <f>IF(H625&gt;Summary!$V$4,0,H625+F625)</f>
        <v>43787</v>
      </c>
      <c r="I626" s="26">
        <f>DATE(YEAR(Summary!$V$2),MONTH(Summary!$V$2),DAY(Summary!$V$2)+INT(H626/480))</f>
        <v>43681</v>
      </c>
      <c r="J626" s="27">
        <f t="shared" si="10"/>
        <v>0.40763888888888888</v>
      </c>
    </row>
    <row r="627" spans="1:10">
      <c r="A627" t="str">
        <f>VLOOKUP(Summary!M626,Summary!$P$13:$Q$24,2)</f>
        <v>B1700-lime</v>
      </c>
      <c r="B627">
        <f>ROUND(NORMINV(Summary!M628,VLOOKUP(A627,Summary!$Q$13:$S$24,3,FALSE),VLOOKUP(A627,Summary!$Q$13:$S$24,3,FALSE)/6),-1)</f>
        <v>490</v>
      </c>
      <c r="C627" t="str">
        <f>IF(AND(H627=0,C626=Summary!$P$2),Summary!$Q$2,IF(AND(H627=0,C626=Summary!$Q$2),Summary!$R$2,C626))</f>
        <v>Reed</v>
      </c>
      <c r="D627" t="str">
        <f>IF(C627=Summary!$P$26,VLOOKUP(Summary!M634,Summary!$Q$26:$R$27,2),IF('Run Data'!C627=Summary!$P$28,VLOOKUP(Summary!M634,Summary!$Q$28:$R$29,2),VLOOKUP(Summary!M634,Summary!$Q$30:$R$32,2)))</f>
        <v>Sprig 2</v>
      </c>
      <c r="E627" t="str">
        <f>VLOOKUP(Summary!M637,Summary!$P$42:$Q$43,2)</f>
        <v>87b</v>
      </c>
      <c r="F627">
        <f>IF(LEFT(A627,3)="B60",20,IF(LEFT(A627,3)="B12",30,25))+B627*0.5+INT(Summary!M640*20)</f>
        <v>286</v>
      </c>
      <c r="G627">
        <f>ROUND(IF(OR(ISERROR(FIND(Summary!$P$89,CONCATENATE(C627,D627,E627))),ISERROR(FIND(Summary!$Q$89,A627))),Summary!$R$45,IF(H627&gt;Summary!$V$3,Summary!$R$46,Summary!$R$45))*(B627+30),0)</f>
        <v>5</v>
      </c>
      <c r="H627">
        <f>IF(H626&gt;Summary!$V$4,0,H626+F626)</f>
        <v>44237</v>
      </c>
      <c r="I627" s="26">
        <f>DATE(YEAR(Summary!$V$2),MONTH(Summary!$V$2),DAY(Summary!$V$2)+INT(H627/480))</f>
        <v>43682</v>
      </c>
      <c r="J627" s="27">
        <f t="shared" si="10"/>
        <v>0.38680555555555557</v>
      </c>
    </row>
    <row r="628" spans="1:10">
      <c r="A628" t="str">
        <f>VLOOKUP(Summary!M627,Summary!$P$13:$Q$24,2)</f>
        <v>B1200-fire</v>
      </c>
      <c r="B628">
        <f>ROUND(NORMINV(Summary!M629,VLOOKUP(A628,Summary!$Q$13:$S$24,3,FALSE),VLOOKUP(A628,Summary!$Q$13:$S$24,3,FALSE)/6),-1)</f>
        <v>1340</v>
      </c>
      <c r="C628" t="str">
        <f>IF(AND(H628=0,C627=Summary!$P$2),Summary!$Q$2,IF(AND(H628=0,C627=Summary!$Q$2),Summary!$R$2,C627))</f>
        <v>Reed</v>
      </c>
      <c r="D628" t="str">
        <f>IF(C628=Summary!$P$26,VLOOKUP(Summary!M635,Summary!$Q$26:$R$27,2),IF('Run Data'!C628=Summary!$P$28,VLOOKUP(Summary!M635,Summary!$Q$28:$R$29,2),VLOOKUP(Summary!M635,Summary!$Q$30:$R$32,2)))</f>
        <v>Sprig 2</v>
      </c>
      <c r="E628" t="str">
        <f>VLOOKUP(Summary!M638,Summary!$P$42:$Q$43,2)</f>
        <v>86</v>
      </c>
      <c r="F628">
        <f>IF(LEFT(A628,3)="B60",20,IF(LEFT(A628,3)="B12",30,25))+B628*0.5+INT(Summary!M641*20)</f>
        <v>710</v>
      </c>
      <c r="G628">
        <f>ROUND(IF(OR(ISERROR(FIND(Summary!$P$89,CONCATENATE(C628,D628,E628))),ISERROR(FIND(Summary!$Q$89,A628))),Summary!$R$45,IF(H628&gt;Summary!$V$3,Summary!$R$46,Summary!$R$45))*(B628+30),0)</f>
        <v>14</v>
      </c>
      <c r="H628">
        <f>IF(H627&gt;Summary!$V$4,0,H627+F627)</f>
        <v>44523</v>
      </c>
      <c r="I628" s="26">
        <f>DATE(YEAR(Summary!$V$2),MONTH(Summary!$V$2),DAY(Summary!$V$2)+INT(H628/480))</f>
        <v>43682</v>
      </c>
      <c r="J628" s="27">
        <f t="shared" si="10"/>
        <v>0.5854166666666667</v>
      </c>
    </row>
    <row r="629" spans="1:10">
      <c r="A629" t="str">
        <f>VLOOKUP(Summary!M628,Summary!$P$13:$Q$24,2)</f>
        <v>B1700-fire</v>
      </c>
      <c r="B629">
        <f>ROUND(NORMINV(Summary!M630,VLOOKUP(A629,Summary!$Q$13:$S$24,3,FALSE),VLOOKUP(A629,Summary!$Q$13:$S$24,3,FALSE)/6),-1)</f>
        <v>730</v>
      </c>
      <c r="C629" t="str">
        <f>IF(AND(H629=0,C628=Summary!$P$2),Summary!$Q$2,IF(AND(H629=0,C628=Summary!$Q$2),Summary!$R$2,C628))</f>
        <v>Reed</v>
      </c>
      <c r="D629" t="str">
        <f>IF(C629=Summary!$P$26,VLOOKUP(Summary!M636,Summary!$Q$26:$R$27,2),IF('Run Data'!C629=Summary!$P$28,VLOOKUP(Summary!M636,Summary!$Q$28:$R$29,2),VLOOKUP(Summary!M636,Summary!$Q$30:$R$32,2)))</f>
        <v>Sprig 2</v>
      </c>
      <c r="E629" t="str">
        <f>VLOOKUP(Summary!M639,Summary!$P$42:$Q$43,2)</f>
        <v>86</v>
      </c>
      <c r="F629">
        <f>IF(LEFT(A629,3)="B60",20,IF(LEFT(A629,3)="B12",30,25))+B629*0.5+INT(Summary!M642*20)</f>
        <v>406</v>
      </c>
      <c r="G629">
        <f>ROUND(IF(OR(ISERROR(FIND(Summary!$P$89,CONCATENATE(C629,D629,E629))),ISERROR(FIND(Summary!$Q$89,A629))),Summary!$R$45,IF(H629&gt;Summary!$V$3,Summary!$R$46,Summary!$R$45))*(B629+30),0)</f>
        <v>8</v>
      </c>
      <c r="H629">
        <f>IF(H628&gt;Summary!$V$4,0,H628+F628)</f>
        <v>45233</v>
      </c>
      <c r="I629" s="26">
        <f>DATE(YEAR(Summary!$V$2),MONTH(Summary!$V$2),DAY(Summary!$V$2)+INT(H629/480))</f>
        <v>43684</v>
      </c>
      <c r="J629" s="27">
        <f t="shared" si="10"/>
        <v>0.41180555555555554</v>
      </c>
    </row>
    <row r="630" spans="1:10">
      <c r="A630" t="str">
        <f>VLOOKUP(Summary!M629,Summary!$P$13:$Q$24,2)</f>
        <v>B1700-plum</v>
      </c>
      <c r="B630">
        <f>ROUND(NORMINV(Summary!M631,VLOOKUP(A630,Summary!$Q$13:$S$24,3,FALSE),VLOOKUP(A630,Summary!$Q$13:$S$24,3,FALSE)/6),-1)</f>
        <v>360</v>
      </c>
      <c r="C630" t="str">
        <f>IF(AND(H630=0,C629=Summary!$P$2),Summary!$Q$2,IF(AND(H630=0,C629=Summary!$Q$2),Summary!$R$2,C629))</f>
        <v>Reed</v>
      </c>
      <c r="D630" t="str">
        <f>IF(C630=Summary!$P$26,VLOOKUP(Summary!M637,Summary!$Q$26:$R$27,2),IF('Run Data'!C630=Summary!$P$28,VLOOKUP(Summary!M637,Summary!$Q$28:$R$29,2),VLOOKUP(Summary!M637,Summary!$Q$30:$R$32,2)))</f>
        <v>Sprig 4</v>
      </c>
      <c r="E630" t="str">
        <f>VLOOKUP(Summary!M640,Summary!$P$42:$Q$43,2)</f>
        <v>86</v>
      </c>
      <c r="F630">
        <f>IF(LEFT(A630,3)="B60",20,IF(LEFT(A630,3)="B12",30,25))+B630*0.5+INT(Summary!M643*20)</f>
        <v>206</v>
      </c>
      <c r="G630">
        <f>ROUND(IF(OR(ISERROR(FIND(Summary!$P$89,CONCATENATE(C630,D630,E630))),ISERROR(FIND(Summary!$Q$89,A630))),Summary!$R$45,IF(H630&gt;Summary!$V$3,Summary!$R$46,Summary!$R$45))*(B630+30),0)</f>
        <v>4</v>
      </c>
      <c r="H630">
        <f>IF(H629&gt;Summary!$V$4,0,H629+F629)</f>
        <v>45639</v>
      </c>
      <c r="I630" s="26">
        <f>DATE(YEAR(Summary!$V$2),MONTH(Summary!$V$2),DAY(Summary!$V$2)+INT(H630/480))</f>
        <v>43685</v>
      </c>
      <c r="J630" s="27">
        <f t="shared" si="10"/>
        <v>0.36041666666666666</v>
      </c>
    </row>
    <row r="631" spans="1:10">
      <c r="A631" t="str">
        <f>VLOOKUP(Summary!M630,Summary!$P$13:$Q$24,2)</f>
        <v>B1200-sky</v>
      </c>
      <c r="B631">
        <f>ROUND(NORMINV(Summary!M632,VLOOKUP(A631,Summary!$Q$13:$S$24,3,FALSE),VLOOKUP(A631,Summary!$Q$13:$S$24,3,FALSE)/6),-1)</f>
        <v>1400</v>
      </c>
      <c r="C631" t="str">
        <f>IF(AND(H631=0,C630=Summary!$P$2),Summary!$Q$2,IF(AND(H631=0,C630=Summary!$Q$2),Summary!$R$2,C630))</f>
        <v>Reed</v>
      </c>
      <c r="D631" t="str">
        <f>IF(C631=Summary!$P$26,VLOOKUP(Summary!M638,Summary!$Q$26:$R$27,2),IF('Run Data'!C631=Summary!$P$28,VLOOKUP(Summary!M638,Summary!$Q$28:$R$29,2),VLOOKUP(Summary!M638,Summary!$Q$30:$R$32,2)))</f>
        <v>Sprig 2</v>
      </c>
      <c r="E631" t="str">
        <f>VLOOKUP(Summary!M641,Summary!$P$42:$Q$43,2)</f>
        <v>86</v>
      </c>
      <c r="F631">
        <f>IF(LEFT(A631,3)="B60",20,IF(LEFT(A631,3)="B12",30,25))+B631*0.5+INT(Summary!M644*20)</f>
        <v>740</v>
      </c>
      <c r="G631">
        <f>ROUND(IF(OR(ISERROR(FIND(Summary!$P$89,CONCATENATE(C631,D631,E631))),ISERROR(FIND(Summary!$Q$89,A631))),Summary!$R$45,IF(H631&gt;Summary!$V$3,Summary!$R$46,Summary!$R$45))*(B631+30),0)</f>
        <v>14</v>
      </c>
      <c r="H631">
        <f>IF(H630&gt;Summary!$V$4,0,H630+F630)</f>
        <v>45845</v>
      </c>
      <c r="I631" s="26">
        <f>DATE(YEAR(Summary!$V$2),MONTH(Summary!$V$2),DAY(Summary!$V$2)+INT(H631/480))</f>
        <v>43685</v>
      </c>
      <c r="J631" s="27">
        <f t="shared" si="10"/>
        <v>0.50347222222222221</v>
      </c>
    </row>
    <row r="632" spans="1:10">
      <c r="A632" t="str">
        <f>VLOOKUP(Summary!M631,Summary!$P$13:$Q$24,2)</f>
        <v>B1700-fire</v>
      </c>
      <c r="B632">
        <f>ROUND(NORMINV(Summary!M633,VLOOKUP(A632,Summary!$Q$13:$S$24,3,FALSE),VLOOKUP(A632,Summary!$Q$13:$S$24,3,FALSE)/6),-1)</f>
        <v>770</v>
      </c>
      <c r="C632" t="str">
        <f>IF(AND(H632=0,C631=Summary!$P$2),Summary!$Q$2,IF(AND(H632=0,C631=Summary!$Q$2),Summary!$R$2,C631))</f>
        <v>Reed</v>
      </c>
      <c r="D632" t="str">
        <f>IF(C632=Summary!$P$26,VLOOKUP(Summary!M639,Summary!$Q$26:$R$27,2),IF('Run Data'!C632=Summary!$P$28,VLOOKUP(Summary!M639,Summary!$Q$28:$R$29,2),VLOOKUP(Summary!M639,Summary!$Q$30:$R$32,2)))</f>
        <v>Sprig 2</v>
      </c>
      <c r="E632" t="str">
        <f>VLOOKUP(Summary!M642,Summary!$P$42:$Q$43,2)</f>
        <v>86</v>
      </c>
      <c r="F632">
        <f>IF(LEFT(A632,3)="B60",20,IF(LEFT(A632,3)="B12",30,25))+B632*0.5+INT(Summary!M645*20)</f>
        <v>424</v>
      </c>
      <c r="G632">
        <f>ROUND(IF(OR(ISERROR(FIND(Summary!$P$89,CONCATENATE(C632,D632,E632))),ISERROR(FIND(Summary!$Q$89,A632))),Summary!$R$45,IF(H632&gt;Summary!$V$3,Summary!$R$46,Summary!$R$45))*(B632+30),0)</f>
        <v>8</v>
      </c>
      <c r="H632">
        <f>IF(H631&gt;Summary!$V$4,0,H631+F631)</f>
        <v>46585</v>
      </c>
      <c r="I632" s="26">
        <f>DATE(YEAR(Summary!$V$2),MONTH(Summary!$V$2),DAY(Summary!$V$2)+INT(H632/480))</f>
        <v>43687</v>
      </c>
      <c r="J632" s="27">
        <f t="shared" si="10"/>
        <v>0.35069444444444442</v>
      </c>
    </row>
    <row r="633" spans="1:10">
      <c r="A633" t="str">
        <f>VLOOKUP(Summary!M632,Summary!$P$13:$Q$24,2)</f>
        <v>B1700-sky</v>
      </c>
      <c r="B633">
        <f>ROUND(NORMINV(Summary!M634,VLOOKUP(A633,Summary!$Q$13:$S$24,3,FALSE),VLOOKUP(A633,Summary!$Q$13:$S$24,3,FALSE)/6),-1)</f>
        <v>480</v>
      </c>
      <c r="C633" t="str">
        <f>IF(AND(H633=0,C632=Summary!$P$2),Summary!$Q$2,IF(AND(H633=0,C632=Summary!$Q$2),Summary!$R$2,C632))</f>
        <v>Reed</v>
      </c>
      <c r="D633" t="str">
        <f>IF(C633=Summary!$P$26,VLOOKUP(Summary!M640,Summary!$Q$26:$R$27,2),IF('Run Data'!C633=Summary!$P$28,VLOOKUP(Summary!M640,Summary!$Q$28:$R$29,2),VLOOKUP(Summary!M640,Summary!$Q$30:$R$32,2)))</f>
        <v>Sprig 4</v>
      </c>
      <c r="E633" t="str">
        <f>VLOOKUP(Summary!M643,Summary!$P$42:$Q$43,2)</f>
        <v>86</v>
      </c>
      <c r="F633">
        <f>IF(LEFT(A633,3)="B60",20,IF(LEFT(A633,3)="B12",30,25))+B633*0.5+INT(Summary!M646*20)</f>
        <v>282</v>
      </c>
      <c r="G633">
        <f>ROUND(IF(OR(ISERROR(FIND(Summary!$P$89,CONCATENATE(C633,D633,E633))),ISERROR(FIND(Summary!$Q$89,A633))),Summary!$R$45,IF(H633&gt;Summary!$V$3,Summary!$R$46,Summary!$R$45))*(B633+30),0)</f>
        <v>5</v>
      </c>
      <c r="H633">
        <f>IF(H632&gt;Summary!$V$4,0,H632+F632)</f>
        <v>47009</v>
      </c>
      <c r="I633" s="26">
        <f>DATE(YEAR(Summary!$V$2),MONTH(Summary!$V$2),DAY(Summary!$V$2)+INT(H633/480))</f>
        <v>43687</v>
      </c>
      <c r="J633" s="27">
        <f t="shared" si="10"/>
        <v>0.64513888888888882</v>
      </c>
    </row>
    <row r="634" spans="1:10">
      <c r="A634" t="str">
        <f>VLOOKUP(Summary!M633,Summary!$P$13:$Q$24,2)</f>
        <v>B1200-lime</v>
      </c>
      <c r="B634">
        <f>ROUND(NORMINV(Summary!M635,VLOOKUP(A634,Summary!$Q$13:$S$24,3,FALSE),VLOOKUP(A634,Summary!$Q$13:$S$24,3,FALSE)/6),-1)</f>
        <v>720</v>
      </c>
      <c r="C634" t="str">
        <f>IF(AND(H634=0,C633=Summary!$P$2),Summary!$Q$2,IF(AND(H634=0,C633=Summary!$Q$2),Summary!$R$2,C633))</f>
        <v>Reed</v>
      </c>
      <c r="D634" t="str">
        <f>IF(C634=Summary!$P$26,VLOOKUP(Summary!M641,Summary!$Q$26:$R$27,2),IF('Run Data'!C634=Summary!$P$28,VLOOKUP(Summary!M641,Summary!$Q$28:$R$29,2),VLOOKUP(Summary!M641,Summary!$Q$30:$R$32,2)))</f>
        <v>Sprig 2</v>
      </c>
      <c r="E634" t="str">
        <f>VLOOKUP(Summary!M644,Summary!$P$42:$Q$43,2)</f>
        <v>86</v>
      </c>
      <c r="F634">
        <f>IF(LEFT(A634,3)="B60",20,IF(LEFT(A634,3)="B12",30,25))+B634*0.5+INT(Summary!M647*20)</f>
        <v>399</v>
      </c>
      <c r="G634">
        <f>ROUND(IF(OR(ISERROR(FIND(Summary!$P$89,CONCATENATE(C634,D634,E634))),ISERROR(FIND(Summary!$Q$89,A634))),Summary!$R$45,IF(H634&gt;Summary!$V$3,Summary!$R$46,Summary!$R$45))*(B634+30),0)</f>
        <v>8</v>
      </c>
      <c r="H634">
        <f>IF(H633&gt;Summary!$V$4,0,H633+F633)</f>
        <v>47291</v>
      </c>
      <c r="I634" s="26">
        <f>DATE(YEAR(Summary!$V$2),MONTH(Summary!$V$2),DAY(Summary!$V$2)+INT(H634/480))</f>
        <v>43688</v>
      </c>
      <c r="J634" s="27">
        <f t="shared" si="10"/>
        <v>0.50763888888888886</v>
      </c>
    </row>
    <row r="635" spans="1:10">
      <c r="A635" t="str">
        <f>VLOOKUP(Summary!M634,Summary!$P$13:$Q$24,2)</f>
        <v>B600-lime</v>
      </c>
      <c r="B635">
        <f>ROUND(NORMINV(Summary!M636,VLOOKUP(A635,Summary!$Q$13:$S$24,3,FALSE),VLOOKUP(A635,Summary!$Q$13:$S$24,3,FALSE)/6),-1)</f>
        <v>260</v>
      </c>
      <c r="C635" t="str">
        <f>IF(AND(H635=0,C634=Summary!$P$2),Summary!$Q$2,IF(AND(H635=0,C634=Summary!$Q$2),Summary!$R$2,C634))</f>
        <v>Reed</v>
      </c>
      <c r="D635" t="str">
        <f>IF(C635=Summary!$P$26,VLOOKUP(Summary!M642,Summary!$Q$26:$R$27,2),IF('Run Data'!C635=Summary!$P$28,VLOOKUP(Summary!M642,Summary!$Q$28:$R$29,2),VLOOKUP(Summary!M642,Summary!$Q$30:$R$32,2)))</f>
        <v>Sprig 4</v>
      </c>
      <c r="E635" t="str">
        <f>VLOOKUP(Summary!M645,Summary!$P$42:$Q$43,2)</f>
        <v>86</v>
      </c>
      <c r="F635">
        <f>IF(LEFT(A635,3)="B60",20,IF(LEFT(A635,3)="B12",30,25))+B635*0.5+INT(Summary!M648*20)</f>
        <v>154</v>
      </c>
      <c r="G635">
        <f>ROUND(IF(OR(ISERROR(FIND(Summary!$P$89,CONCATENATE(C635,D635,E635))),ISERROR(FIND(Summary!$Q$89,A635))),Summary!$R$45,IF(H635&gt;Summary!$V$3,Summary!$R$46,Summary!$R$45))*(B635+30),0)</f>
        <v>3</v>
      </c>
      <c r="H635">
        <f>IF(H634&gt;Summary!$V$4,0,H634+F634)</f>
        <v>47690</v>
      </c>
      <c r="I635" s="26">
        <f>DATE(YEAR(Summary!$V$2),MONTH(Summary!$V$2),DAY(Summary!$V$2)+INT(H635/480))</f>
        <v>43689</v>
      </c>
      <c r="J635" s="27">
        <f t="shared" si="10"/>
        <v>0.4513888888888889</v>
      </c>
    </row>
    <row r="636" spans="1:10">
      <c r="A636" t="str">
        <f>VLOOKUP(Summary!M635,Summary!$P$13:$Q$24,2)</f>
        <v>B1200-plum</v>
      </c>
      <c r="B636">
        <f>ROUND(NORMINV(Summary!M637,VLOOKUP(A636,Summary!$Q$13:$S$24,3,FALSE),VLOOKUP(A636,Summary!$Q$13:$S$24,3,FALSE)/6),-1)</f>
        <v>620</v>
      </c>
      <c r="C636" t="str">
        <f>IF(AND(H636=0,C635=Summary!$P$2),Summary!$Q$2,IF(AND(H636=0,C635=Summary!$Q$2),Summary!$R$2,C635))</f>
        <v>Reed</v>
      </c>
      <c r="D636" t="str">
        <f>IF(C636=Summary!$P$26,VLOOKUP(Summary!M643,Summary!$Q$26:$R$27,2),IF('Run Data'!C636=Summary!$P$28,VLOOKUP(Summary!M643,Summary!$Q$28:$R$29,2),VLOOKUP(Summary!M643,Summary!$Q$30:$R$32,2)))</f>
        <v>Sprig 2</v>
      </c>
      <c r="E636" t="str">
        <f>VLOOKUP(Summary!M646,Summary!$P$42:$Q$43,2)</f>
        <v>87b</v>
      </c>
      <c r="F636">
        <f>IF(LEFT(A636,3)="B60",20,IF(LEFT(A636,3)="B12",30,25))+B636*0.5+INT(Summary!M649*20)</f>
        <v>351</v>
      </c>
      <c r="G636">
        <f>ROUND(IF(OR(ISERROR(FIND(Summary!$P$89,CONCATENATE(C636,D636,E636))),ISERROR(FIND(Summary!$Q$89,A636))),Summary!$R$45,IF(H636&gt;Summary!$V$3,Summary!$R$46,Summary!$R$45))*(B636+30),0)</f>
        <v>7</v>
      </c>
      <c r="H636">
        <f>IF(H635&gt;Summary!$V$4,0,H635+F635)</f>
        <v>47844</v>
      </c>
      <c r="I636" s="26">
        <f>DATE(YEAR(Summary!$V$2),MONTH(Summary!$V$2),DAY(Summary!$V$2)+INT(H636/480))</f>
        <v>43689</v>
      </c>
      <c r="J636" s="27">
        <f t="shared" si="10"/>
        <v>0.55833333333333335</v>
      </c>
    </row>
    <row r="637" spans="1:10">
      <c r="A637" t="str">
        <f>VLOOKUP(Summary!M636,Summary!$P$13:$Q$24,2)</f>
        <v>B600-lime</v>
      </c>
      <c r="B637">
        <f>ROUND(NORMINV(Summary!M638,VLOOKUP(A637,Summary!$Q$13:$S$24,3,FALSE),VLOOKUP(A637,Summary!$Q$13:$S$24,3,FALSE)/6),-1)</f>
        <v>300</v>
      </c>
      <c r="C637" t="str">
        <f>IF(AND(H637=0,C636=Summary!$P$2),Summary!$Q$2,IF(AND(H637=0,C636=Summary!$Q$2),Summary!$R$2,C636))</f>
        <v>Reed</v>
      </c>
      <c r="D637" t="str">
        <f>IF(C637=Summary!$P$26,VLOOKUP(Summary!M644,Summary!$Q$26:$R$27,2),IF('Run Data'!C637=Summary!$P$28,VLOOKUP(Summary!M644,Summary!$Q$28:$R$29,2),VLOOKUP(Summary!M644,Summary!$Q$30:$R$32,2)))</f>
        <v>Sprig 2</v>
      </c>
      <c r="E637" t="str">
        <f>VLOOKUP(Summary!M647,Summary!$P$42:$Q$43,2)</f>
        <v>86</v>
      </c>
      <c r="F637">
        <f>IF(LEFT(A637,3)="B60",20,IF(LEFT(A637,3)="B12",30,25))+B637*0.5+INT(Summary!M650*20)</f>
        <v>177</v>
      </c>
      <c r="G637">
        <f>ROUND(IF(OR(ISERROR(FIND(Summary!$P$89,CONCATENATE(C637,D637,E637))),ISERROR(FIND(Summary!$Q$89,A637))),Summary!$R$45,IF(H637&gt;Summary!$V$3,Summary!$R$46,Summary!$R$45))*(B637+30),0)</f>
        <v>3</v>
      </c>
      <c r="H637">
        <f>IF(H636&gt;Summary!$V$4,0,H636+F636)</f>
        <v>48195</v>
      </c>
      <c r="I637" s="26">
        <f>DATE(YEAR(Summary!$V$2),MONTH(Summary!$V$2),DAY(Summary!$V$2)+INT(H637/480))</f>
        <v>43690</v>
      </c>
      <c r="J637" s="27">
        <f t="shared" si="10"/>
        <v>0.46875</v>
      </c>
    </row>
    <row r="638" spans="1:10">
      <c r="A638" t="str">
        <f>VLOOKUP(Summary!M637,Summary!$P$13:$Q$24,2)</f>
        <v>B1700-lime</v>
      </c>
      <c r="B638">
        <f>ROUND(NORMINV(Summary!M639,VLOOKUP(A638,Summary!$Q$13:$S$24,3,FALSE),VLOOKUP(A638,Summary!$Q$13:$S$24,3,FALSE)/6),-1)</f>
        <v>450</v>
      </c>
      <c r="C638" t="str">
        <f>IF(AND(H638=0,C637=Summary!$P$2),Summary!$Q$2,IF(AND(H638=0,C637=Summary!$Q$2),Summary!$R$2,C637))</f>
        <v>Reed</v>
      </c>
      <c r="D638" t="str">
        <f>IF(C638=Summary!$P$26,VLOOKUP(Summary!M645,Summary!$Q$26:$R$27,2),IF('Run Data'!C638=Summary!$P$28,VLOOKUP(Summary!M645,Summary!$Q$28:$R$29,2),VLOOKUP(Summary!M645,Summary!$Q$30:$R$32,2)))</f>
        <v>Sprig 2</v>
      </c>
      <c r="E638" t="str">
        <f>VLOOKUP(Summary!M648,Summary!$P$42:$Q$43,2)</f>
        <v>86</v>
      </c>
      <c r="F638">
        <f>IF(LEFT(A638,3)="B60",20,IF(LEFT(A638,3)="B12",30,25))+B638*0.5+INT(Summary!M651*20)</f>
        <v>250</v>
      </c>
      <c r="G638">
        <f>ROUND(IF(OR(ISERROR(FIND(Summary!$P$89,CONCATENATE(C638,D638,E638))),ISERROR(FIND(Summary!$Q$89,A638))),Summary!$R$45,IF(H638&gt;Summary!$V$3,Summary!$R$46,Summary!$R$45))*(B638+30),0)</f>
        <v>58</v>
      </c>
      <c r="H638">
        <f>IF(H637&gt;Summary!$V$4,0,H637+F637)</f>
        <v>48372</v>
      </c>
      <c r="I638" s="26">
        <f>DATE(YEAR(Summary!$V$2),MONTH(Summary!$V$2),DAY(Summary!$V$2)+INT(H638/480))</f>
        <v>43690</v>
      </c>
      <c r="J638" s="27">
        <f t="shared" si="10"/>
        <v>0.59166666666666667</v>
      </c>
    </row>
    <row r="639" spans="1:10">
      <c r="A639" t="str">
        <f>VLOOKUP(Summary!M638,Summary!$P$13:$Q$24,2)</f>
        <v>B1200-fire</v>
      </c>
      <c r="B639">
        <f>ROUND(NORMINV(Summary!M640,VLOOKUP(A639,Summary!$Q$13:$S$24,3,FALSE),VLOOKUP(A639,Summary!$Q$13:$S$24,3,FALSE)/6),-1)</f>
        <v>1390</v>
      </c>
      <c r="C639" t="str">
        <f>IF(AND(H639=0,C638=Summary!$P$2),Summary!$Q$2,IF(AND(H639=0,C638=Summary!$Q$2),Summary!$R$2,C638))</f>
        <v>Reed</v>
      </c>
      <c r="D639" t="str">
        <f>IF(C639=Summary!$P$26,VLOOKUP(Summary!M646,Summary!$Q$26:$R$27,2),IF('Run Data'!C639=Summary!$P$28,VLOOKUP(Summary!M646,Summary!$Q$28:$R$29,2),VLOOKUP(Summary!M646,Summary!$Q$30:$R$32,2)))</f>
        <v>Sprig 4</v>
      </c>
      <c r="E639" t="str">
        <f>VLOOKUP(Summary!M649,Summary!$P$42:$Q$43,2)</f>
        <v>86</v>
      </c>
      <c r="F639">
        <f>IF(LEFT(A639,3)="B60",20,IF(LEFT(A639,3)="B12",30,25))+B639*0.5+INT(Summary!M652*20)</f>
        <v>728</v>
      </c>
      <c r="G639">
        <f>ROUND(IF(OR(ISERROR(FIND(Summary!$P$89,CONCATENATE(C639,D639,E639))),ISERROR(FIND(Summary!$Q$89,A639))),Summary!$R$45,IF(H639&gt;Summary!$V$3,Summary!$R$46,Summary!$R$45))*(B639+30),0)</f>
        <v>14</v>
      </c>
      <c r="H639">
        <f>IF(H638&gt;Summary!$V$4,0,H638+F638)</f>
        <v>48622</v>
      </c>
      <c r="I639" s="26">
        <f>DATE(YEAR(Summary!$V$2),MONTH(Summary!$V$2),DAY(Summary!$V$2)+INT(H639/480))</f>
        <v>43691</v>
      </c>
      <c r="J639" s="27">
        <f t="shared" si="10"/>
        <v>0.43194444444444446</v>
      </c>
    </row>
    <row r="640" spans="1:10">
      <c r="A640" t="str">
        <f>VLOOKUP(Summary!M639,Summary!$P$13:$Q$24,2)</f>
        <v>B1700-sky</v>
      </c>
      <c r="B640">
        <f>ROUND(NORMINV(Summary!M641,VLOOKUP(A640,Summary!$Q$13:$S$24,3,FALSE),VLOOKUP(A640,Summary!$Q$13:$S$24,3,FALSE)/6),-1)</f>
        <v>550</v>
      </c>
      <c r="C640" t="str">
        <f>IF(AND(H640=0,C639=Summary!$P$2),Summary!$Q$2,IF(AND(H640=0,C639=Summary!$Q$2),Summary!$R$2,C639))</f>
        <v>Reed</v>
      </c>
      <c r="D640" t="str">
        <f>IF(C640=Summary!$P$26,VLOOKUP(Summary!M647,Summary!$Q$26:$R$27,2),IF('Run Data'!C640=Summary!$P$28,VLOOKUP(Summary!M647,Summary!$Q$28:$R$29,2),VLOOKUP(Summary!M647,Summary!$Q$30:$R$32,2)))</f>
        <v>Sprig 2</v>
      </c>
      <c r="E640" t="str">
        <f>VLOOKUP(Summary!M650,Summary!$P$42:$Q$43,2)</f>
        <v>86</v>
      </c>
      <c r="F640">
        <f>IF(LEFT(A640,3)="B60",20,IF(LEFT(A640,3)="B12",30,25))+B640*0.5+INT(Summary!M653*20)</f>
        <v>304</v>
      </c>
      <c r="G640">
        <f>ROUND(IF(OR(ISERROR(FIND(Summary!$P$89,CONCATENATE(C640,D640,E640))),ISERROR(FIND(Summary!$Q$89,A640))),Summary!$R$45,IF(H640&gt;Summary!$V$3,Summary!$R$46,Summary!$R$45))*(B640+30),0)</f>
        <v>70</v>
      </c>
      <c r="H640">
        <f>IF(H639&gt;Summary!$V$4,0,H639+F639)</f>
        <v>49350</v>
      </c>
      <c r="I640" s="26">
        <f>DATE(YEAR(Summary!$V$2),MONTH(Summary!$V$2),DAY(Summary!$V$2)+INT(H640/480))</f>
        <v>43692</v>
      </c>
      <c r="J640" s="27">
        <f t="shared" si="10"/>
        <v>0.60416666666666663</v>
      </c>
    </row>
    <row r="641" spans="1:10">
      <c r="A641" t="str">
        <f>VLOOKUP(Summary!M640,Summary!$P$13:$Q$24,2)</f>
        <v>B1700-sky</v>
      </c>
      <c r="B641">
        <f>ROUND(NORMINV(Summary!M642,VLOOKUP(A641,Summary!$Q$13:$S$24,3,FALSE),VLOOKUP(A641,Summary!$Q$13:$S$24,3,FALSE)/6),-1)</f>
        <v>640</v>
      </c>
      <c r="C641" t="str">
        <f>IF(AND(H641=0,C640=Summary!$P$2),Summary!$Q$2,IF(AND(H641=0,C640=Summary!$Q$2),Summary!$R$2,C640))</f>
        <v>Reed</v>
      </c>
      <c r="D641" t="str">
        <f>IF(C641=Summary!$P$26,VLOOKUP(Summary!M648,Summary!$Q$26:$R$27,2),IF('Run Data'!C641=Summary!$P$28,VLOOKUP(Summary!M648,Summary!$Q$28:$R$29,2),VLOOKUP(Summary!M648,Summary!$Q$30:$R$32,2)))</f>
        <v>Sprig 2</v>
      </c>
      <c r="E641" t="str">
        <f>VLOOKUP(Summary!M651,Summary!$P$42:$Q$43,2)</f>
        <v>86</v>
      </c>
      <c r="F641">
        <f>IF(LEFT(A641,3)="B60",20,IF(LEFT(A641,3)="B12",30,25))+B641*0.5+INT(Summary!M654*20)</f>
        <v>348</v>
      </c>
      <c r="G641">
        <f>ROUND(IF(OR(ISERROR(FIND(Summary!$P$89,CONCATENATE(C641,D641,E641))),ISERROR(FIND(Summary!$Q$89,A641))),Summary!$R$45,IF(H641&gt;Summary!$V$3,Summary!$R$46,Summary!$R$45))*(B641+30),0)</f>
        <v>80</v>
      </c>
      <c r="H641">
        <f>IF(H640&gt;Summary!$V$4,0,H640+F640)</f>
        <v>49654</v>
      </c>
      <c r="I641" s="26">
        <f>DATE(YEAR(Summary!$V$2),MONTH(Summary!$V$2),DAY(Summary!$V$2)+INT(H641/480))</f>
        <v>43693</v>
      </c>
      <c r="J641" s="27">
        <f t="shared" si="10"/>
        <v>0.48194444444444445</v>
      </c>
    </row>
    <row r="642" spans="1:10">
      <c r="A642" t="str">
        <f>VLOOKUP(Summary!M641,Summary!$P$13:$Q$24,2)</f>
        <v>B1200-fire</v>
      </c>
      <c r="B642">
        <f>ROUND(NORMINV(Summary!M643,VLOOKUP(A642,Summary!$Q$13:$S$24,3,FALSE),VLOOKUP(A642,Summary!$Q$13:$S$24,3,FALSE)/6),-1)</f>
        <v>890</v>
      </c>
      <c r="C642" t="str">
        <f>IF(AND(H642=0,C641=Summary!$P$2),Summary!$Q$2,IF(AND(H642=0,C641=Summary!$Q$2),Summary!$R$2,C641))</f>
        <v>Reed</v>
      </c>
      <c r="D642" t="str">
        <f>IF(C642=Summary!$P$26,VLOOKUP(Summary!M649,Summary!$Q$26:$R$27,2),IF('Run Data'!C642=Summary!$P$28,VLOOKUP(Summary!M649,Summary!$Q$28:$R$29,2),VLOOKUP(Summary!M649,Summary!$Q$30:$R$32,2)))</f>
        <v>Sprig 2</v>
      </c>
      <c r="E642" t="str">
        <f>VLOOKUP(Summary!M652,Summary!$P$42:$Q$43,2)</f>
        <v>86</v>
      </c>
      <c r="F642">
        <f>IF(LEFT(A642,3)="B60",20,IF(LEFT(A642,3)="B12",30,25))+B642*0.5+INT(Summary!M655*20)</f>
        <v>484</v>
      </c>
      <c r="G642">
        <f>ROUND(IF(OR(ISERROR(FIND(Summary!$P$89,CONCATENATE(C642,D642,E642))),ISERROR(FIND(Summary!$Q$89,A642))),Summary!$R$45,IF(H642&gt;Summary!$V$3,Summary!$R$46,Summary!$R$45))*(B642+30),0)</f>
        <v>9</v>
      </c>
      <c r="H642">
        <f>IF(H641&gt;Summary!$V$4,0,H641+F641)</f>
        <v>50002</v>
      </c>
      <c r="I642" s="26">
        <f>DATE(YEAR(Summary!$V$2),MONTH(Summary!$V$2),DAY(Summary!$V$2)+INT(H642/480))</f>
        <v>43694</v>
      </c>
      <c r="J642" s="27">
        <f t="shared" si="10"/>
        <v>0.39027777777777778</v>
      </c>
    </row>
    <row r="643" spans="1:10">
      <c r="A643" t="str">
        <f>VLOOKUP(Summary!M642,Summary!$P$13:$Q$24,2)</f>
        <v>B1700-sky</v>
      </c>
      <c r="B643">
        <f>ROUND(NORMINV(Summary!M644,VLOOKUP(A643,Summary!$Q$13:$S$24,3,FALSE),VLOOKUP(A643,Summary!$Q$13:$S$24,3,FALSE)/6),-1)</f>
        <v>550</v>
      </c>
      <c r="C643" t="str">
        <f>IF(AND(H643=0,C642=Summary!$P$2),Summary!$Q$2,IF(AND(H643=0,C642=Summary!$Q$2),Summary!$R$2,C642))</f>
        <v>Reed</v>
      </c>
      <c r="D643" t="str">
        <f>IF(C643=Summary!$P$26,VLOOKUP(Summary!M650,Summary!$Q$26:$R$27,2),IF('Run Data'!C643=Summary!$P$28,VLOOKUP(Summary!M650,Summary!$Q$28:$R$29,2),VLOOKUP(Summary!M650,Summary!$Q$30:$R$32,2)))</f>
        <v>Sprig 2</v>
      </c>
      <c r="E643" t="str">
        <f>VLOOKUP(Summary!M653,Summary!$P$42:$Q$43,2)</f>
        <v>86</v>
      </c>
      <c r="F643">
        <f>IF(LEFT(A643,3)="B60",20,IF(LEFT(A643,3)="B12",30,25))+B643*0.5+INT(Summary!M656*20)</f>
        <v>305</v>
      </c>
      <c r="G643">
        <f>ROUND(IF(OR(ISERROR(FIND(Summary!$P$89,CONCATENATE(C643,D643,E643))),ISERROR(FIND(Summary!$Q$89,A643))),Summary!$R$45,IF(H643&gt;Summary!$V$3,Summary!$R$46,Summary!$R$45))*(B643+30),0)</f>
        <v>70</v>
      </c>
      <c r="H643">
        <f>IF(H642&gt;Summary!$V$4,0,H642+F642)</f>
        <v>50486</v>
      </c>
      <c r="I643" s="26">
        <f>DATE(YEAR(Summary!$V$2),MONTH(Summary!$V$2),DAY(Summary!$V$2)+INT(H643/480))</f>
        <v>43695</v>
      </c>
      <c r="J643" s="27">
        <f t="shared" si="10"/>
        <v>0.39305555555555555</v>
      </c>
    </row>
    <row r="644" spans="1:10">
      <c r="A644" t="str">
        <f>VLOOKUP(Summary!M643,Summary!$P$13:$Q$24,2)</f>
        <v>B600-sky</v>
      </c>
      <c r="B644">
        <f>ROUND(NORMINV(Summary!M645,VLOOKUP(A644,Summary!$Q$13:$S$24,3,FALSE),VLOOKUP(A644,Summary!$Q$13:$S$24,3,FALSE)/6),-1)</f>
        <v>550</v>
      </c>
      <c r="C644" t="str">
        <f>IF(AND(H644=0,C643=Summary!$P$2),Summary!$Q$2,IF(AND(H644=0,C643=Summary!$Q$2),Summary!$R$2,C643))</f>
        <v>Reed</v>
      </c>
      <c r="D644" t="str">
        <f>IF(C644=Summary!$P$26,VLOOKUP(Summary!M651,Summary!$Q$26:$R$27,2),IF('Run Data'!C644=Summary!$P$28,VLOOKUP(Summary!M651,Summary!$Q$28:$R$29,2),VLOOKUP(Summary!M651,Summary!$Q$30:$R$32,2)))</f>
        <v>Sprig 2</v>
      </c>
      <c r="E644" t="str">
        <f>VLOOKUP(Summary!M654,Summary!$P$42:$Q$43,2)</f>
        <v>86</v>
      </c>
      <c r="F644">
        <f>IF(LEFT(A644,3)="B60",20,IF(LEFT(A644,3)="B12",30,25))+B644*0.5+INT(Summary!M657*20)</f>
        <v>312</v>
      </c>
      <c r="G644">
        <f>ROUND(IF(OR(ISERROR(FIND(Summary!$P$89,CONCATENATE(C644,D644,E644))),ISERROR(FIND(Summary!$Q$89,A644))),Summary!$R$45,IF(H644&gt;Summary!$V$3,Summary!$R$46,Summary!$R$45))*(B644+30),0)</f>
        <v>6</v>
      </c>
      <c r="H644">
        <f>IF(H643&gt;Summary!$V$4,0,H643+F643)</f>
        <v>50791</v>
      </c>
      <c r="I644" s="26">
        <f>DATE(YEAR(Summary!$V$2),MONTH(Summary!$V$2),DAY(Summary!$V$2)+INT(H644/480))</f>
        <v>43695</v>
      </c>
      <c r="J644" s="27">
        <f t="shared" si="10"/>
        <v>0.60486111111111118</v>
      </c>
    </row>
    <row r="645" spans="1:10">
      <c r="A645" t="str">
        <f>VLOOKUP(Summary!M644,Summary!$P$13:$Q$24,2)</f>
        <v>B1200-fire</v>
      </c>
      <c r="B645">
        <f>ROUND(NORMINV(Summary!M646,VLOOKUP(A645,Summary!$Q$13:$S$24,3,FALSE),VLOOKUP(A645,Summary!$Q$13:$S$24,3,FALSE)/6),-1)</f>
        <v>1440</v>
      </c>
      <c r="C645" t="str">
        <f>IF(AND(H645=0,C644=Summary!$P$2),Summary!$Q$2,IF(AND(H645=0,C644=Summary!$Q$2),Summary!$R$2,C644))</f>
        <v>Reed</v>
      </c>
      <c r="D645" t="str">
        <f>IF(C645=Summary!$P$26,VLOOKUP(Summary!M652,Summary!$Q$26:$R$27,2),IF('Run Data'!C645=Summary!$P$28,VLOOKUP(Summary!M652,Summary!$Q$28:$R$29,2),VLOOKUP(Summary!M652,Summary!$Q$30:$R$32,2)))</f>
        <v>Sprig 2</v>
      </c>
      <c r="E645" t="str">
        <f>VLOOKUP(Summary!M655,Summary!$P$42:$Q$43,2)</f>
        <v>86</v>
      </c>
      <c r="F645">
        <f>IF(LEFT(A645,3)="B60",20,IF(LEFT(A645,3)="B12",30,25))+B645*0.5+INT(Summary!M658*20)</f>
        <v>764</v>
      </c>
      <c r="G645">
        <f>ROUND(IF(OR(ISERROR(FIND(Summary!$P$89,CONCATENATE(C645,D645,E645))),ISERROR(FIND(Summary!$Q$89,A645))),Summary!$R$45,IF(H645&gt;Summary!$V$3,Summary!$R$46,Summary!$R$45))*(B645+30),0)</f>
        <v>15</v>
      </c>
      <c r="H645">
        <f>IF(H644&gt;Summary!$V$4,0,H644+F644)</f>
        <v>51103</v>
      </c>
      <c r="I645" s="26">
        <f>DATE(YEAR(Summary!$V$2),MONTH(Summary!$V$2),DAY(Summary!$V$2)+INT(H645/480))</f>
        <v>43696</v>
      </c>
      <c r="J645" s="27">
        <f t="shared" si="10"/>
        <v>0.48819444444444443</v>
      </c>
    </row>
    <row r="646" spans="1:10">
      <c r="A646" t="str">
        <f>VLOOKUP(Summary!M645,Summary!$P$13:$Q$24,2)</f>
        <v>B1700-plum</v>
      </c>
      <c r="B646">
        <f>ROUND(NORMINV(Summary!M647,VLOOKUP(A646,Summary!$Q$13:$S$24,3,FALSE),VLOOKUP(A646,Summary!$Q$13:$S$24,3,FALSE)/6),-1)</f>
        <v>290</v>
      </c>
      <c r="C646" t="str">
        <f>IF(AND(H646=0,C645=Summary!$P$2),Summary!$Q$2,IF(AND(H646=0,C645=Summary!$Q$2),Summary!$R$2,C645))</f>
        <v>Reed</v>
      </c>
      <c r="D646" t="str">
        <f>IF(C646=Summary!$P$26,VLOOKUP(Summary!M653,Summary!$Q$26:$R$27,2),IF('Run Data'!C646=Summary!$P$28,VLOOKUP(Summary!M653,Summary!$Q$28:$R$29,2),VLOOKUP(Summary!M653,Summary!$Q$30:$R$32,2)))</f>
        <v>Sprig 2</v>
      </c>
      <c r="E646" t="str">
        <f>VLOOKUP(Summary!M656,Summary!$P$42:$Q$43,2)</f>
        <v>86</v>
      </c>
      <c r="F646">
        <f>IF(LEFT(A646,3)="B60",20,IF(LEFT(A646,3)="B12",30,25))+B646*0.5+INT(Summary!M659*20)</f>
        <v>184</v>
      </c>
      <c r="G646">
        <f>ROUND(IF(OR(ISERROR(FIND(Summary!$P$89,CONCATENATE(C646,D646,E646))),ISERROR(FIND(Summary!$Q$89,A646))),Summary!$R$45,IF(H646&gt;Summary!$V$3,Summary!$R$46,Summary!$R$45))*(B646+30),0)</f>
        <v>38</v>
      </c>
      <c r="H646">
        <f>IF(H645&gt;Summary!$V$4,0,H645+F645)</f>
        <v>51867</v>
      </c>
      <c r="I646" s="26">
        <f>DATE(YEAR(Summary!$V$2),MONTH(Summary!$V$2),DAY(Summary!$V$2)+INT(H646/480))</f>
        <v>43698</v>
      </c>
      <c r="J646" s="27">
        <f t="shared" si="10"/>
        <v>0.3520833333333333</v>
      </c>
    </row>
    <row r="647" spans="1:10">
      <c r="A647" t="str">
        <f>VLOOKUP(Summary!M646,Summary!$P$13:$Q$24,2)</f>
        <v>B1700-fire</v>
      </c>
      <c r="B647">
        <f>ROUND(NORMINV(Summary!M648,VLOOKUP(A647,Summary!$Q$13:$S$24,3,FALSE),VLOOKUP(A647,Summary!$Q$13:$S$24,3,FALSE)/6),-1)</f>
        <v>660</v>
      </c>
      <c r="C647" t="str">
        <f>IF(AND(H647=0,C646=Summary!$P$2),Summary!$Q$2,IF(AND(H647=0,C646=Summary!$Q$2),Summary!$R$2,C646))</f>
        <v>Reed</v>
      </c>
      <c r="D647" t="str">
        <f>IF(C647=Summary!$P$26,VLOOKUP(Summary!M654,Summary!$Q$26:$R$27,2),IF('Run Data'!C647=Summary!$P$28,VLOOKUP(Summary!M654,Summary!$Q$28:$R$29,2),VLOOKUP(Summary!M654,Summary!$Q$30:$R$32,2)))</f>
        <v>Sprig 2</v>
      </c>
      <c r="E647" t="str">
        <f>VLOOKUP(Summary!M657,Summary!$P$42:$Q$43,2)</f>
        <v>87b</v>
      </c>
      <c r="F647">
        <f>IF(LEFT(A647,3)="B60",20,IF(LEFT(A647,3)="B12",30,25))+B647*0.5+INT(Summary!M660*20)</f>
        <v>368</v>
      </c>
      <c r="G647">
        <f>ROUND(IF(OR(ISERROR(FIND(Summary!$P$89,CONCATENATE(C647,D647,E647))),ISERROR(FIND(Summary!$Q$89,A647))),Summary!$R$45,IF(H647&gt;Summary!$V$3,Summary!$R$46,Summary!$R$45))*(B647+30),0)</f>
        <v>7</v>
      </c>
      <c r="H647">
        <f>IF(H646&gt;Summary!$V$4,0,H646+F646)</f>
        <v>52051</v>
      </c>
      <c r="I647" s="26">
        <f>DATE(YEAR(Summary!$V$2),MONTH(Summary!$V$2),DAY(Summary!$V$2)+INT(H647/480))</f>
        <v>43698</v>
      </c>
      <c r="J647" s="27">
        <f t="shared" si="10"/>
        <v>0.47986111111111113</v>
      </c>
    </row>
    <row r="648" spans="1:10">
      <c r="A648" t="str">
        <f>VLOOKUP(Summary!M647,Summary!$P$13:$Q$24,2)</f>
        <v>B1200-fire</v>
      </c>
      <c r="B648">
        <f>ROUND(NORMINV(Summary!M649,VLOOKUP(A648,Summary!$Q$13:$S$24,3,FALSE),VLOOKUP(A648,Summary!$Q$13:$S$24,3,FALSE)/6),-1)</f>
        <v>1240</v>
      </c>
      <c r="C648" t="str">
        <f>IF(AND(H648=0,C647=Summary!$P$2),Summary!$Q$2,IF(AND(H648=0,C647=Summary!$Q$2),Summary!$R$2,C647))</f>
        <v>Reed</v>
      </c>
      <c r="D648" t="str">
        <f>IF(C648=Summary!$P$26,VLOOKUP(Summary!M655,Summary!$Q$26:$R$27,2),IF('Run Data'!C648=Summary!$P$28,VLOOKUP(Summary!M655,Summary!$Q$28:$R$29,2),VLOOKUP(Summary!M655,Summary!$Q$30:$R$32,2)))</f>
        <v>Sprig 2</v>
      </c>
      <c r="E648" t="str">
        <f>VLOOKUP(Summary!M658,Summary!$P$42:$Q$43,2)</f>
        <v>86</v>
      </c>
      <c r="F648">
        <f>IF(LEFT(A648,3)="B60",20,IF(LEFT(A648,3)="B12",30,25))+B648*0.5+INT(Summary!M661*20)</f>
        <v>657</v>
      </c>
      <c r="G648">
        <f>ROUND(IF(OR(ISERROR(FIND(Summary!$P$89,CONCATENATE(C648,D648,E648))),ISERROR(FIND(Summary!$Q$89,A648))),Summary!$R$45,IF(H648&gt;Summary!$V$3,Summary!$R$46,Summary!$R$45))*(B648+30),0)</f>
        <v>13</v>
      </c>
      <c r="H648">
        <f>IF(H647&gt;Summary!$V$4,0,H647+F647)</f>
        <v>52419</v>
      </c>
      <c r="I648" s="26">
        <f>DATE(YEAR(Summary!$V$2),MONTH(Summary!$V$2),DAY(Summary!$V$2)+INT(H648/480))</f>
        <v>43699</v>
      </c>
      <c r="J648" s="27">
        <f t="shared" si="10"/>
        <v>0.40208333333333335</v>
      </c>
    </row>
    <row r="649" spans="1:10">
      <c r="A649" t="str">
        <f>VLOOKUP(Summary!M648,Summary!$P$13:$Q$24,2)</f>
        <v>B1200-plum</v>
      </c>
      <c r="B649">
        <f>ROUND(NORMINV(Summary!M650,VLOOKUP(A649,Summary!$Q$13:$S$24,3,FALSE),VLOOKUP(A649,Summary!$Q$13:$S$24,3,FALSE)/6),-1)</f>
        <v>420</v>
      </c>
      <c r="C649" t="str">
        <f>IF(AND(H649=0,C648=Summary!$P$2),Summary!$Q$2,IF(AND(H649=0,C648=Summary!$Q$2),Summary!$R$2,C648))</f>
        <v>Reed</v>
      </c>
      <c r="D649" t="str">
        <f>IF(C649=Summary!$P$26,VLOOKUP(Summary!M656,Summary!$Q$26:$R$27,2),IF('Run Data'!C649=Summary!$P$28,VLOOKUP(Summary!M656,Summary!$Q$28:$R$29,2),VLOOKUP(Summary!M656,Summary!$Q$30:$R$32,2)))</f>
        <v>Sprig 2</v>
      </c>
      <c r="E649" t="str">
        <f>VLOOKUP(Summary!M659,Summary!$P$42:$Q$43,2)</f>
        <v>86</v>
      </c>
      <c r="F649">
        <f>IF(LEFT(A649,3)="B60",20,IF(LEFT(A649,3)="B12",30,25))+B649*0.5+INT(Summary!M662*20)</f>
        <v>254</v>
      </c>
      <c r="G649">
        <f>ROUND(IF(OR(ISERROR(FIND(Summary!$P$89,CONCATENATE(C649,D649,E649))),ISERROR(FIND(Summary!$Q$89,A649))),Summary!$R$45,IF(H649&gt;Summary!$V$3,Summary!$R$46,Summary!$R$45))*(B649+30),0)</f>
        <v>5</v>
      </c>
      <c r="H649">
        <f>IF(H648&gt;Summary!$V$4,0,H648+F648)</f>
        <v>53076</v>
      </c>
      <c r="I649" s="26">
        <f>DATE(YEAR(Summary!$V$2),MONTH(Summary!$V$2),DAY(Summary!$V$2)+INT(H649/480))</f>
        <v>43700</v>
      </c>
      <c r="J649" s="27">
        <f t="shared" si="10"/>
        <v>0.52500000000000002</v>
      </c>
    </row>
    <row r="650" spans="1:10">
      <c r="A650" t="str">
        <f>VLOOKUP(Summary!M649,Summary!$P$13:$Q$24,2)</f>
        <v>B1200-lime</v>
      </c>
      <c r="B650">
        <f>ROUND(NORMINV(Summary!M651,VLOOKUP(A650,Summary!$Q$13:$S$24,3,FALSE),VLOOKUP(A650,Summary!$Q$13:$S$24,3,FALSE)/6),-1)</f>
        <v>520</v>
      </c>
      <c r="C650" t="str">
        <f>IF(AND(H650=0,C649=Summary!$P$2),Summary!$Q$2,IF(AND(H650=0,C649=Summary!$Q$2),Summary!$R$2,C649))</f>
        <v>Reed</v>
      </c>
      <c r="D650" t="str">
        <f>IF(C650=Summary!$P$26,VLOOKUP(Summary!M657,Summary!$Q$26:$R$27,2),IF('Run Data'!C650=Summary!$P$28,VLOOKUP(Summary!M657,Summary!$Q$28:$R$29,2),VLOOKUP(Summary!M657,Summary!$Q$30:$R$32,2)))</f>
        <v>Sprig 4</v>
      </c>
      <c r="E650" t="str">
        <f>VLOOKUP(Summary!M660,Summary!$P$42:$Q$43,2)</f>
        <v>86</v>
      </c>
      <c r="F650">
        <f>IF(LEFT(A650,3)="B60",20,IF(LEFT(A650,3)="B12",30,25))+B650*0.5+INT(Summary!M663*20)</f>
        <v>304</v>
      </c>
      <c r="G650">
        <f>ROUND(IF(OR(ISERROR(FIND(Summary!$P$89,CONCATENATE(C650,D650,E650))),ISERROR(FIND(Summary!$Q$89,A650))),Summary!$R$45,IF(H650&gt;Summary!$V$3,Summary!$R$46,Summary!$R$45))*(B650+30),0)</f>
        <v>6</v>
      </c>
      <c r="H650">
        <f>IF(H649&gt;Summary!$V$4,0,H649+F649)</f>
        <v>53330</v>
      </c>
      <c r="I650" s="26">
        <f>DATE(YEAR(Summary!$V$2),MONTH(Summary!$V$2),DAY(Summary!$V$2)+INT(H650/480))</f>
        <v>43701</v>
      </c>
      <c r="J650" s="27">
        <f t="shared" si="10"/>
        <v>0.36805555555555558</v>
      </c>
    </row>
    <row r="651" spans="1:10">
      <c r="A651" t="str">
        <f>VLOOKUP(Summary!M650,Summary!$P$13:$Q$24,2)</f>
        <v>B1200-sky</v>
      </c>
      <c r="B651">
        <f>ROUND(NORMINV(Summary!M652,VLOOKUP(A651,Summary!$Q$13:$S$24,3,FALSE),VLOOKUP(A651,Summary!$Q$13:$S$24,3,FALSE)/6),-1)</f>
        <v>1030</v>
      </c>
      <c r="C651" t="str">
        <f>IF(AND(H651=0,C650=Summary!$P$2),Summary!$Q$2,IF(AND(H651=0,C650=Summary!$Q$2),Summary!$R$2,C650))</f>
        <v>Reed</v>
      </c>
      <c r="D651" t="str">
        <f>IF(C651=Summary!$P$26,VLOOKUP(Summary!M658,Summary!$Q$26:$R$27,2),IF('Run Data'!C651=Summary!$P$28,VLOOKUP(Summary!M658,Summary!$Q$28:$R$29,2),VLOOKUP(Summary!M658,Summary!$Q$30:$R$32,2)))</f>
        <v>Sprig 2</v>
      </c>
      <c r="E651" t="str">
        <f>VLOOKUP(Summary!M661,Summary!$P$42:$Q$43,2)</f>
        <v>86</v>
      </c>
      <c r="F651">
        <f>IF(LEFT(A651,3)="B60",20,IF(LEFT(A651,3)="B12",30,25))+B651*0.5+INT(Summary!M664*20)</f>
        <v>564</v>
      </c>
      <c r="G651">
        <f>ROUND(IF(OR(ISERROR(FIND(Summary!$P$89,CONCATENATE(C651,D651,E651))),ISERROR(FIND(Summary!$Q$89,A651))),Summary!$R$45,IF(H651&gt;Summary!$V$3,Summary!$R$46,Summary!$R$45))*(B651+30),0)</f>
        <v>11</v>
      </c>
      <c r="H651">
        <f>IF(H650&gt;Summary!$V$4,0,H650+F650)</f>
        <v>53634</v>
      </c>
      <c r="I651" s="26">
        <f>DATE(YEAR(Summary!$V$2),MONTH(Summary!$V$2),DAY(Summary!$V$2)+INT(H651/480))</f>
        <v>43701</v>
      </c>
      <c r="J651" s="27">
        <f t="shared" si="10"/>
        <v>0.57916666666666672</v>
      </c>
    </row>
    <row r="652" spans="1:10">
      <c r="A652" t="str">
        <f>VLOOKUP(Summary!M651,Summary!$P$13:$Q$24,2)</f>
        <v>B600-plum</v>
      </c>
      <c r="B652">
        <f>ROUND(NORMINV(Summary!M653,VLOOKUP(A652,Summary!$Q$13:$S$24,3,FALSE),VLOOKUP(A652,Summary!$Q$13:$S$24,3,FALSE)/6),-1)</f>
        <v>170</v>
      </c>
      <c r="C652" t="str">
        <f>IF(AND(H652=0,C651=Summary!$P$2),Summary!$Q$2,IF(AND(H652=0,C651=Summary!$Q$2),Summary!$R$2,C651))</f>
        <v>Reed</v>
      </c>
      <c r="D652" t="str">
        <f>IF(C652=Summary!$P$26,VLOOKUP(Summary!M659,Summary!$Q$26:$R$27,2),IF('Run Data'!C652=Summary!$P$28,VLOOKUP(Summary!M659,Summary!$Q$28:$R$29,2),VLOOKUP(Summary!M659,Summary!$Q$30:$R$32,2)))</f>
        <v>Sprig 2</v>
      </c>
      <c r="E652" t="str">
        <f>VLOOKUP(Summary!M662,Summary!$P$42:$Q$43,2)</f>
        <v>86</v>
      </c>
      <c r="F652">
        <f>IF(LEFT(A652,3)="B60",20,IF(LEFT(A652,3)="B12",30,25))+B652*0.5+INT(Summary!M665*20)</f>
        <v>116</v>
      </c>
      <c r="G652">
        <f>ROUND(IF(OR(ISERROR(FIND(Summary!$P$89,CONCATENATE(C652,D652,E652))),ISERROR(FIND(Summary!$Q$89,A652))),Summary!$R$45,IF(H652&gt;Summary!$V$3,Summary!$R$46,Summary!$R$45))*(B652+30),0)</f>
        <v>2</v>
      </c>
      <c r="H652">
        <f>IF(H651&gt;Summary!$V$4,0,H651+F651)</f>
        <v>54198</v>
      </c>
      <c r="I652" s="26">
        <f>DATE(YEAR(Summary!$V$2),MONTH(Summary!$V$2),DAY(Summary!$V$2)+INT(H652/480))</f>
        <v>43702</v>
      </c>
      <c r="J652" s="27">
        <f t="shared" si="10"/>
        <v>0.63750000000000007</v>
      </c>
    </row>
    <row r="653" spans="1:10">
      <c r="A653" t="str">
        <f>VLOOKUP(Summary!M652,Summary!$P$13:$Q$24,2)</f>
        <v>B600-lime</v>
      </c>
      <c r="B653">
        <f>ROUND(NORMINV(Summary!M654,VLOOKUP(A653,Summary!$Q$13:$S$24,3,FALSE),VLOOKUP(A653,Summary!$Q$13:$S$24,3,FALSE)/6),-1)</f>
        <v>250</v>
      </c>
      <c r="C653" t="str">
        <f>IF(AND(H653=0,C652=Summary!$P$2),Summary!$Q$2,IF(AND(H653=0,C652=Summary!$Q$2),Summary!$R$2,C652))</f>
        <v>Reed</v>
      </c>
      <c r="D653" t="str">
        <f>IF(C653=Summary!$P$26,VLOOKUP(Summary!M660,Summary!$Q$26:$R$27,2),IF('Run Data'!C653=Summary!$P$28,VLOOKUP(Summary!M660,Summary!$Q$28:$R$29,2),VLOOKUP(Summary!M660,Summary!$Q$30:$R$32,2)))</f>
        <v>Sprig 2</v>
      </c>
      <c r="E653" t="str">
        <f>VLOOKUP(Summary!M663,Summary!$P$42:$Q$43,2)</f>
        <v>86</v>
      </c>
      <c r="F653">
        <f>IF(LEFT(A653,3)="B60",20,IF(LEFT(A653,3)="B12",30,25))+B653*0.5+INT(Summary!M666*20)</f>
        <v>150</v>
      </c>
      <c r="G653">
        <f>ROUND(IF(OR(ISERROR(FIND(Summary!$P$89,CONCATENATE(C653,D653,E653))),ISERROR(FIND(Summary!$Q$89,A653))),Summary!$R$45,IF(H653&gt;Summary!$V$3,Summary!$R$46,Summary!$R$45))*(B653+30),0)</f>
        <v>3</v>
      </c>
      <c r="H653">
        <f>IF(H652&gt;Summary!$V$4,0,H652+F652)</f>
        <v>54314</v>
      </c>
      <c r="I653" s="26">
        <f>DATE(YEAR(Summary!$V$2),MONTH(Summary!$V$2),DAY(Summary!$V$2)+INT(H653/480))</f>
        <v>43703</v>
      </c>
      <c r="J653" s="27">
        <f t="shared" si="10"/>
        <v>0.38472222222222219</v>
      </c>
    </row>
    <row r="654" spans="1:10">
      <c r="A654" t="str">
        <f>VLOOKUP(Summary!M653,Summary!$P$13:$Q$24,2)</f>
        <v>B600-lime</v>
      </c>
      <c r="B654">
        <f>ROUND(NORMINV(Summary!M655,VLOOKUP(A654,Summary!$Q$13:$S$24,3,FALSE),VLOOKUP(A654,Summary!$Q$13:$S$24,3,FALSE)/6),-1)</f>
        <v>300</v>
      </c>
      <c r="C654" t="str">
        <f>IF(AND(H654=0,C653=Summary!$P$2),Summary!$Q$2,IF(AND(H654=0,C653=Summary!$Q$2),Summary!$R$2,C653))</f>
        <v>Reed</v>
      </c>
      <c r="D654" t="str">
        <f>IF(C654=Summary!$P$26,VLOOKUP(Summary!M661,Summary!$Q$26:$R$27,2),IF('Run Data'!C654=Summary!$P$28,VLOOKUP(Summary!M661,Summary!$Q$28:$R$29,2),VLOOKUP(Summary!M661,Summary!$Q$30:$R$32,2)))</f>
        <v>Sprig 2</v>
      </c>
      <c r="E654" t="str">
        <f>VLOOKUP(Summary!M664,Summary!$P$42:$Q$43,2)</f>
        <v>87b</v>
      </c>
      <c r="F654">
        <f>IF(LEFT(A654,3)="B60",20,IF(LEFT(A654,3)="B12",30,25))+B654*0.5+INT(Summary!M667*20)</f>
        <v>180</v>
      </c>
      <c r="G654">
        <f>ROUND(IF(OR(ISERROR(FIND(Summary!$P$89,CONCATENATE(C654,D654,E654))),ISERROR(FIND(Summary!$Q$89,A654))),Summary!$R$45,IF(H654&gt;Summary!$V$3,Summary!$R$46,Summary!$R$45))*(B654+30),0)</f>
        <v>3</v>
      </c>
      <c r="H654">
        <f>IF(H653&gt;Summary!$V$4,0,H653+F653)</f>
        <v>54464</v>
      </c>
      <c r="I654" s="26">
        <f>DATE(YEAR(Summary!$V$2),MONTH(Summary!$V$2),DAY(Summary!$V$2)+INT(H654/480))</f>
        <v>43703</v>
      </c>
      <c r="J654" s="27">
        <f t="shared" si="10"/>
        <v>0.48888888888888887</v>
      </c>
    </row>
    <row r="655" spans="1:10">
      <c r="A655" t="str">
        <f>VLOOKUP(Summary!M654,Summary!$P$13:$Q$24,2)</f>
        <v>B600-lime</v>
      </c>
      <c r="B655">
        <f>ROUND(NORMINV(Summary!M656,VLOOKUP(A655,Summary!$Q$13:$S$24,3,FALSE),VLOOKUP(A655,Summary!$Q$13:$S$24,3,FALSE)/6),-1)</f>
        <v>270</v>
      </c>
      <c r="C655" t="str">
        <f>IF(AND(H655=0,C654=Summary!$P$2),Summary!$Q$2,IF(AND(H655=0,C654=Summary!$Q$2),Summary!$R$2,C654))</f>
        <v>Reed</v>
      </c>
      <c r="D655" t="str">
        <f>IF(C655=Summary!$P$26,VLOOKUP(Summary!M662,Summary!$Q$26:$R$27,2),IF('Run Data'!C655=Summary!$P$28,VLOOKUP(Summary!M662,Summary!$Q$28:$R$29,2),VLOOKUP(Summary!M662,Summary!$Q$30:$R$32,2)))</f>
        <v>Sprig 2</v>
      </c>
      <c r="E655" t="str">
        <f>VLOOKUP(Summary!M665,Summary!$P$42:$Q$43,2)</f>
        <v>86</v>
      </c>
      <c r="F655">
        <f>IF(LEFT(A655,3)="B60",20,IF(LEFT(A655,3)="B12",30,25))+B655*0.5+INT(Summary!M668*20)</f>
        <v>157</v>
      </c>
      <c r="G655">
        <f>ROUND(IF(OR(ISERROR(FIND(Summary!$P$89,CONCATENATE(C655,D655,E655))),ISERROR(FIND(Summary!$Q$89,A655))),Summary!$R$45,IF(H655&gt;Summary!$V$3,Summary!$R$46,Summary!$R$45))*(B655+30),0)</f>
        <v>3</v>
      </c>
      <c r="H655">
        <f>IF(H654&gt;Summary!$V$4,0,H654+F654)</f>
        <v>54644</v>
      </c>
      <c r="I655" s="26">
        <f>DATE(YEAR(Summary!$V$2),MONTH(Summary!$V$2),DAY(Summary!$V$2)+INT(H655/480))</f>
        <v>43703</v>
      </c>
      <c r="J655" s="27">
        <f t="shared" si="10"/>
        <v>0.61388888888888882</v>
      </c>
    </row>
    <row r="656" spans="1:10">
      <c r="A656" t="str">
        <f>VLOOKUP(Summary!M655,Summary!$P$13:$Q$24,2)</f>
        <v>B1200-fire</v>
      </c>
      <c r="B656">
        <f>ROUND(NORMINV(Summary!M657,VLOOKUP(A656,Summary!$Q$13:$S$24,3,FALSE),VLOOKUP(A656,Summary!$Q$13:$S$24,3,FALSE)/6),-1)</f>
        <v>1440</v>
      </c>
      <c r="C656" t="str">
        <f>IF(AND(H656=0,C655=Summary!$P$2),Summary!$Q$2,IF(AND(H656=0,C655=Summary!$Q$2),Summary!$R$2,C655))</f>
        <v>Reed</v>
      </c>
      <c r="D656" t="str">
        <f>IF(C656=Summary!$P$26,VLOOKUP(Summary!M663,Summary!$Q$26:$R$27,2),IF('Run Data'!C656=Summary!$P$28,VLOOKUP(Summary!M663,Summary!$Q$28:$R$29,2),VLOOKUP(Summary!M663,Summary!$Q$30:$R$32,2)))</f>
        <v>Sprig 2</v>
      </c>
      <c r="E656" t="str">
        <f>VLOOKUP(Summary!M666,Summary!$P$42:$Q$43,2)</f>
        <v>86</v>
      </c>
      <c r="F656">
        <f>IF(LEFT(A656,3)="B60",20,IF(LEFT(A656,3)="B12",30,25))+B656*0.5+INT(Summary!M669*20)</f>
        <v>760</v>
      </c>
      <c r="G656">
        <f>ROUND(IF(OR(ISERROR(FIND(Summary!$P$89,CONCATENATE(C656,D656,E656))),ISERROR(FIND(Summary!$Q$89,A656))),Summary!$R$45,IF(H656&gt;Summary!$V$3,Summary!$R$46,Summary!$R$45))*(B656+30),0)</f>
        <v>15</v>
      </c>
      <c r="H656">
        <f>IF(H655&gt;Summary!$V$4,0,H655+F655)</f>
        <v>54801</v>
      </c>
      <c r="I656" s="26">
        <f>DATE(YEAR(Summary!$V$2),MONTH(Summary!$V$2),DAY(Summary!$V$2)+INT(H656/480))</f>
        <v>43704</v>
      </c>
      <c r="J656" s="27">
        <f t="shared" si="10"/>
        <v>0.38958333333333334</v>
      </c>
    </row>
    <row r="657" spans="1:10">
      <c r="A657" t="str">
        <f>VLOOKUP(Summary!M656,Summary!$P$13:$Q$24,2)</f>
        <v>B1200-plum</v>
      </c>
      <c r="B657">
        <f>ROUND(NORMINV(Summary!M658,VLOOKUP(A657,Summary!$Q$13:$S$24,3,FALSE),VLOOKUP(A657,Summary!$Q$13:$S$24,3,FALSE)/6),-1)</f>
        <v>490</v>
      </c>
      <c r="C657" t="str">
        <f>IF(AND(H657=0,C656=Summary!$P$2),Summary!$Q$2,IF(AND(H657=0,C656=Summary!$Q$2),Summary!$R$2,C656))</f>
        <v>Reed</v>
      </c>
      <c r="D657" t="str">
        <f>IF(C657=Summary!$P$26,VLOOKUP(Summary!M664,Summary!$Q$26:$R$27,2),IF('Run Data'!C657=Summary!$P$28,VLOOKUP(Summary!M664,Summary!$Q$28:$R$29,2),VLOOKUP(Summary!M664,Summary!$Q$30:$R$32,2)))</f>
        <v>Sprig 4</v>
      </c>
      <c r="E657" t="str">
        <f>VLOOKUP(Summary!M667,Summary!$P$42:$Q$43,2)</f>
        <v>86</v>
      </c>
      <c r="F657">
        <f>IF(LEFT(A657,3)="B60",20,IF(LEFT(A657,3)="B12",30,25))+B657*0.5+INT(Summary!M670*20)</f>
        <v>284</v>
      </c>
      <c r="G657">
        <f>ROUND(IF(OR(ISERROR(FIND(Summary!$P$89,CONCATENATE(C657,D657,E657))),ISERROR(FIND(Summary!$Q$89,A657))),Summary!$R$45,IF(H657&gt;Summary!$V$3,Summary!$R$46,Summary!$R$45))*(B657+30),0)</f>
        <v>5</v>
      </c>
      <c r="H657">
        <f>IF(H656&gt;Summary!$V$4,0,H656+F656)</f>
        <v>55561</v>
      </c>
      <c r="I657" s="26">
        <f>DATE(YEAR(Summary!$V$2),MONTH(Summary!$V$2),DAY(Summary!$V$2)+INT(H657/480))</f>
        <v>43705</v>
      </c>
      <c r="J657" s="27">
        <f t="shared" ref="J657:J720" si="11">TIME(INT(MOD(H657,480)/60)+8,MOD(MOD(H657,480),60),0)</f>
        <v>0.58402777777777781</v>
      </c>
    </row>
    <row r="658" spans="1:10">
      <c r="A658" t="str">
        <f>VLOOKUP(Summary!M657,Summary!$P$13:$Q$24,2)</f>
        <v>B1700-fire</v>
      </c>
      <c r="B658">
        <f>ROUND(NORMINV(Summary!M659,VLOOKUP(A658,Summary!$Q$13:$S$24,3,FALSE),VLOOKUP(A658,Summary!$Q$13:$S$24,3,FALSE)/6),-1)</f>
        <v>830</v>
      </c>
      <c r="C658" t="str">
        <f>IF(AND(H658=0,C657=Summary!$P$2),Summary!$Q$2,IF(AND(H658=0,C657=Summary!$Q$2),Summary!$R$2,C657))</f>
        <v>Reed</v>
      </c>
      <c r="D658" t="str">
        <f>IF(C658=Summary!$P$26,VLOOKUP(Summary!M665,Summary!$Q$26:$R$27,2),IF('Run Data'!C658=Summary!$P$28,VLOOKUP(Summary!M665,Summary!$Q$28:$R$29,2),VLOOKUP(Summary!M665,Summary!$Q$30:$R$32,2)))</f>
        <v>Sprig 2</v>
      </c>
      <c r="E658" t="str">
        <f>VLOOKUP(Summary!M668,Summary!$P$42:$Q$43,2)</f>
        <v>86</v>
      </c>
      <c r="F658">
        <f>IF(LEFT(A658,3)="B60",20,IF(LEFT(A658,3)="B12",30,25))+B658*0.5+INT(Summary!M671*20)</f>
        <v>453</v>
      </c>
      <c r="G658">
        <f>ROUND(IF(OR(ISERROR(FIND(Summary!$P$89,CONCATENATE(C658,D658,E658))),ISERROR(FIND(Summary!$Q$89,A658))),Summary!$R$45,IF(H658&gt;Summary!$V$3,Summary!$R$46,Summary!$R$45))*(B658+30),0)</f>
        <v>103</v>
      </c>
      <c r="H658">
        <f>IF(H657&gt;Summary!$V$4,0,H657+F657)</f>
        <v>55845</v>
      </c>
      <c r="I658" s="26">
        <f>DATE(YEAR(Summary!$V$2),MONTH(Summary!$V$2),DAY(Summary!$V$2)+INT(H658/480))</f>
        <v>43706</v>
      </c>
      <c r="J658" s="27">
        <f t="shared" si="11"/>
        <v>0.44791666666666669</v>
      </c>
    </row>
    <row r="659" spans="1:10">
      <c r="A659" t="str">
        <f>VLOOKUP(Summary!M658,Summary!$P$13:$Q$24,2)</f>
        <v>B1700-plum</v>
      </c>
      <c r="B659">
        <f>ROUND(NORMINV(Summary!M660,VLOOKUP(A659,Summary!$Q$13:$S$24,3,FALSE),VLOOKUP(A659,Summary!$Q$13:$S$24,3,FALSE)/6),-1)</f>
        <v>330</v>
      </c>
      <c r="C659" t="str">
        <f>IF(AND(H659=0,C658=Summary!$P$2),Summary!$Q$2,IF(AND(H659=0,C658=Summary!$Q$2),Summary!$R$2,C658))</f>
        <v>Reed</v>
      </c>
      <c r="D659" t="str">
        <f>IF(C659=Summary!$P$26,VLOOKUP(Summary!M666,Summary!$Q$26:$R$27,2),IF('Run Data'!C659=Summary!$P$28,VLOOKUP(Summary!M666,Summary!$Q$28:$R$29,2),VLOOKUP(Summary!M666,Summary!$Q$30:$R$32,2)))</f>
        <v>Sprig 2</v>
      </c>
      <c r="E659" t="str">
        <f>VLOOKUP(Summary!M669,Summary!$P$42:$Q$43,2)</f>
        <v>86</v>
      </c>
      <c r="F659">
        <f>IF(LEFT(A659,3)="B60",20,IF(LEFT(A659,3)="B12",30,25))+B659*0.5+INT(Summary!M672*20)</f>
        <v>202</v>
      </c>
      <c r="G659">
        <f>ROUND(IF(OR(ISERROR(FIND(Summary!$P$89,CONCATENATE(C659,D659,E659))),ISERROR(FIND(Summary!$Q$89,A659))),Summary!$R$45,IF(H659&gt;Summary!$V$3,Summary!$R$46,Summary!$R$45))*(B659+30),0)</f>
        <v>43</v>
      </c>
      <c r="H659">
        <f>IF(H658&gt;Summary!$V$4,0,H658+F658)</f>
        <v>56298</v>
      </c>
      <c r="I659" s="26">
        <f>DATE(YEAR(Summary!$V$2),MONTH(Summary!$V$2),DAY(Summary!$V$2)+INT(H659/480))</f>
        <v>43707</v>
      </c>
      <c r="J659" s="27">
        <f t="shared" si="11"/>
        <v>0.4291666666666667</v>
      </c>
    </row>
    <row r="660" spans="1:10">
      <c r="A660" t="str">
        <f>VLOOKUP(Summary!M659,Summary!$P$13:$Q$24,2)</f>
        <v>B1700-plum</v>
      </c>
      <c r="B660">
        <f>ROUND(NORMINV(Summary!M661,VLOOKUP(A660,Summary!$Q$13:$S$24,3,FALSE),VLOOKUP(A660,Summary!$Q$13:$S$24,3,FALSE)/6),-1)</f>
        <v>280</v>
      </c>
      <c r="C660" t="str">
        <f>IF(AND(H660=0,C659=Summary!$P$2),Summary!$Q$2,IF(AND(H660=0,C659=Summary!$Q$2),Summary!$R$2,C659))</f>
        <v>Reed</v>
      </c>
      <c r="D660" t="str">
        <f>IF(C660=Summary!$P$26,VLOOKUP(Summary!M667,Summary!$Q$26:$R$27,2),IF('Run Data'!C660=Summary!$P$28,VLOOKUP(Summary!M667,Summary!$Q$28:$R$29,2),VLOOKUP(Summary!M667,Summary!$Q$30:$R$32,2)))</f>
        <v>Sprig 2</v>
      </c>
      <c r="E660" t="str">
        <f>VLOOKUP(Summary!M670,Summary!$P$42:$Q$43,2)</f>
        <v>86</v>
      </c>
      <c r="F660">
        <f>IF(LEFT(A660,3)="B60",20,IF(LEFT(A660,3)="B12",30,25))+B660*0.5+INT(Summary!M673*20)</f>
        <v>180</v>
      </c>
      <c r="G660">
        <f>ROUND(IF(OR(ISERROR(FIND(Summary!$P$89,CONCATENATE(C660,D660,E660))),ISERROR(FIND(Summary!$Q$89,A660))),Summary!$R$45,IF(H660&gt;Summary!$V$3,Summary!$R$46,Summary!$R$45))*(B660+30),0)</f>
        <v>37</v>
      </c>
      <c r="H660">
        <f>IF(H659&gt;Summary!$V$4,0,H659+F659)</f>
        <v>56500</v>
      </c>
      <c r="I660" s="26">
        <f>DATE(YEAR(Summary!$V$2),MONTH(Summary!$V$2),DAY(Summary!$V$2)+INT(H660/480))</f>
        <v>43707</v>
      </c>
      <c r="J660" s="27">
        <f t="shared" si="11"/>
        <v>0.56944444444444442</v>
      </c>
    </row>
    <row r="661" spans="1:10">
      <c r="A661" t="str">
        <f>VLOOKUP(Summary!M660,Summary!$P$13:$Q$24,2)</f>
        <v>B1200-lime</v>
      </c>
      <c r="B661">
        <f>ROUND(NORMINV(Summary!M662,VLOOKUP(A661,Summary!$Q$13:$S$24,3,FALSE),VLOOKUP(A661,Summary!$Q$13:$S$24,3,FALSE)/6),-1)</f>
        <v>870</v>
      </c>
      <c r="C661" t="str">
        <f>IF(AND(H661=0,C660=Summary!$P$2),Summary!$Q$2,IF(AND(H661=0,C660=Summary!$Q$2),Summary!$R$2,C660))</f>
        <v>Reed</v>
      </c>
      <c r="D661" t="str">
        <f>IF(C661=Summary!$P$26,VLOOKUP(Summary!M668,Summary!$Q$26:$R$27,2),IF('Run Data'!C661=Summary!$P$28,VLOOKUP(Summary!M668,Summary!$Q$28:$R$29,2),VLOOKUP(Summary!M668,Summary!$Q$30:$R$32,2)))</f>
        <v>Sprig 2</v>
      </c>
      <c r="E661" t="str">
        <f>VLOOKUP(Summary!M671,Summary!$P$42:$Q$43,2)</f>
        <v>86</v>
      </c>
      <c r="F661">
        <f>IF(LEFT(A661,3)="B60",20,IF(LEFT(A661,3)="B12",30,25))+B661*0.5+INT(Summary!M674*20)</f>
        <v>482</v>
      </c>
      <c r="G661">
        <f>ROUND(IF(OR(ISERROR(FIND(Summary!$P$89,CONCATENATE(C661,D661,E661))),ISERROR(FIND(Summary!$Q$89,A661))),Summary!$R$45,IF(H661&gt;Summary!$V$3,Summary!$R$46,Summary!$R$45))*(B661+30),0)</f>
        <v>9</v>
      </c>
      <c r="H661">
        <f>IF(H660&gt;Summary!$V$4,0,H660+F660)</f>
        <v>56680</v>
      </c>
      <c r="I661" s="26">
        <f>DATE(YEAR(Summary!$V$2),MONTH(Summary!$V$2),DAY(Summary!$V$2)+INT(H661/480))</f>
        <v>43708</v>
      </c>
      <c r="J661" s="27">
        <f t="shared" si="11"/>
        <v>0.3611111111111111</v>
      </c>
    </row>
    <row r="662" spans="1:10">
      <c r="A662" t="str">
        <f>VLOOKUP(Summary!M661,Summary!$P$13:$Q$24,2)</f>
        <v>B1200-sky</v>
      </c>
      <c r="B662">
        <f>ROUND(NORMINV(Summary!M663,VLOOKUP(A662,Summary!$Q$13:$S$24,3,FALSE),VLOOKUP(A662,Summary!$Q$13:$S$24,3,FALSE)/6),-1)</f>
        <v>1330</v>
      </c>
      <c r="C662" t="str">
        <f>IF(AND(H662=0,C661=Summary!$P$2),Summary!$Q$2,IF(AND(H662=0,C661=Summary!$Q$2),Summary!$R$2,C661))</f>
        <v>Reed</v>
      </c>
      <c r="D662" t="str">
        <f>IF(C662=Summary!$P$26,VLOOKUP(Summary!M669,Summary!$Q$26:$R$27,2),IF('Run Data'!C662=Summary!$P$28,VLOOKUP(Summary!M669,Summary!$Q$28:$R$29,2),VLOOKUP(Summary!M669,Summary!$Q$30:$R$32,2)))</f>
        <v>Sprig 2</v>
      </c>
      <c r="E662" t="str">
        <f>VLOOKUP(Summary!M672,Summary!$P$42:$Q$43,2)</f>
        <v>86</v>
      </c>
      <c r="F662">
        <f>IF(LEFT(A662,3)="B60",20,IF(LEFT(A662,3)="B12",30,25))+B662*0.5+INT(Summary!M675*20)</f>
        <v>714</v>
      </c>
      <c r="G662">
        <f>ROUND(IF(OR(ISERROR(FIND(Summary!$P$89,CONCATENATE(C662,D662,E662))),ISERROR(FIND(Summary!$Q$89,A662))),Summary!$R$45,IF(H662&gt;Summary!$V$3,Summary!$R$46,Summary!$R$45))*(B662+30),0)</f>
        <v>14</v>
      </c>
      <c r="H662">
        <f>IF(H661&gt;Summary!$V$4,0,H661+F661)</f>
        <v>57162</v>
      </c>
      <c r="I662" s="26">
        <f>DATE(YEAR(Summary!$V$2),MONTH(Summary!$V$2),DAY(Summary!$V$2)+INT(H662/480))</f>
        <v>43709</v>
      </c>
      <c r="J662" s="27">
        <f t="shared" si="11"/>
        <v>0.36249999999999999</v>
      </c>
    </row>
    <row r="663" spans="1:10">
      <c r="A663" t="str">
        <f>VLOOKUP(Summary!M662,Summary!$P$13:$Q$24,2)</f>
        <v>B1700-plum</v>
      </c>
      <c r="B663">
        <f>ROUND(NORMINV(Summary!M664,VLOOKUP(A663,Summary!$Q$13:$S$24,3,FALSE),VLOOKUP(A663,Summary!$Q$13:$S$24,3,FALSE)/6),-1)</f>
        <v>380</v>
      </c>
      <c r="C663" t="str">
        <f>IF(AND(H663=0,C662=Summary!$P$2),Summary!$Q$2,IF(AND(H663=0,C662=Summary!$Q$2),Summary!$R$2,C662))</f>
        <v>Reed</v>
      </c>
      <c r="D663" t="str">
        <f>IF(C663=Summary!$P$26,VLOOKUP(Summary!M670,Summary!$Q$26:$R$27,2),IF('Run Data'!C663=Summary!$P$28,VLOOKUP(Summary!M670,Summary!$Q$28:$R$29,2),VLOOKUP(Summary!M670,Summary!$Q$30:$R$32,2)))</f>
        <v>Sprig 2</v>
      </c>
      <c r="E663" t="str">
        <f>VLOOKUP(Summary!M673,Summary!$P$42:$Q$43,2)</f>
        <v>86</v>
      </c>
      <c r="F663">
        <f>IF(LEFT(A663,3)="B60",20,IF(LEFT(A663,3)="B12",30,25))+B663*0.5+INT(Summary!M676*20)</f>
        <v>225</v>
      </c>
      <c r="G663">
        <f>ROUND(IF(OR(ISERROR(FIND(Summary!$P$89,CONCATENATE(C663,D663,E663))),ISERROR(FIND(Summary!$Q$89,A663))),Summary!$R$45,IF(H663&gt;Summary!$V$3,Summary!$R$46,Summary!$R$45))*(B663+30),0)</f>
        <v>49</v>
      </c>
      <c r="H663">
        <f>IF(H662&gt;Summary!$V$4,0,H662+F662)</f>
        <v>57876</v>
      </c>
      <c r="I663" s="26">
        <f>DATE(YEAR(Summary!$V$2),MONTH(Summary!$V$2),DAY(Summary!$V$2)+INT(H663/480))</f>
        <v>43710</v>
      </c>
      <c r="J663" s="27">
        <f t="shared" si="11"/>
        <v>0.52500000000000002</v>
      </c>
    </row>
    <row r="664" spans="1:10">
      <c r="A664" t="str">
        <f>VLOOKUP(Summary!M663,Summary!$P$13:$Q$24,2)</f>
        <v>B1700-plum</v>
      </c>
      <c r="B664">
        <f>ROUND(NORMINV(Summary!M665,VLOOKUP(A664,Summary!$Q$13:$S$24,3,FALSE),VLOOKUP(A664,Summary!$Q$13:$S$24,3,FALSE)/6),-1)</f>
        <v>310</v>
      </c>
      <c r="C664" t="str">
        <f>IF(AND(H664=0,C663=Summary!$P$2),Summary!$Q$2,IF(AND(H664=0,C663=Summary!$Q$2),Summary!$R$2,C663))</f>
        <v>Reed</v>
      </c>
      <c r="D664" t="str">
        <f>IF(C664=Summary!$P$26,VLOOKUP(Summary!M671,Summary!$Q$26:$R$27,2),IF('Run Data'!C664=Summary!$P$28,VLOOKUP(Summary!M671,Summary!$Q$28:$R$29,2),VLOOKUP(Summary!M671,Summary!$Q$30:$R$32,2)))</f>
        <v>Sprig 2</v>
      </c>
      <c r="E664" t="str">
        <f>VLOOKUP(Summary!M674,Summary!$P$42:$Q$43,2)</f>
        <v>87b</v>
      </c>
      <c r="F664">
        <f>IF(LEFT(A664,3)="B60",20,IF(LEFT(A664,3)="B12",30,25))+B664*0.5+INT(Summary!M677*20)</f>
        <v>194</v>
      </c>
      <c r="G664">
        <f>ROUND(IF(OR(ISERROR(FIND(Summary!$P$89,CONCATENATE(C664,D664,E664))),ISERROR(FIND(Summary!$Q$89,A664))),Summary!$R$45,IF(H664&gt;Summary!$V$3,Summary!$R$46,Summary!$R$45))*(B664+30),0)</f>
        <v>3</v>
      </c>
      <c r="H664">
        <f>IF(H663&gt;Summary!$V$4,0,H663+F663)</f>
        <v>58101</v>
      </c>
      <c r="I664" s="26">
        <f>DATE(YEAR(Summary!$V$2),MONTH(Summary!$V$2),DAY(Summary!$V$2)+INT(H664/480))</f>
        <v>43711</v>
      </c>
      <c r="J664" s="27">
        <f t="shared" si="11"/>
        <v>0.34791666666666665</v>
      </c>
    </row>
    <row r="665" spans="1:10">
      <c r="A665" t="str">
        <f>VLOOKUP(Summary!M664,Summary!$P$13:$Q$24,2)</f>
        <v>B1700-lime</v>
      </c>
      <c r="B665">
        <f>ROUND(NORMINV(Summary!M666,VLOOKUP(A665,Summary!$Q$13:$S$24,3,FALSE),VLOOKUP(A665,Summary!$Q$13:$S$24,3,FALSE)/6),-1)</f>
        <v>360</v>
      </c>
      <c r="C665" t="str">
        <f>IF(AND(H665=0,C664=Summary!$P$2),Summary!$Q$2,IF(AND(H665=0,C664=Summary!$Q$2),Summary!$R$2,C664))</f>
        <v>Reed</v>
      </c>
      <c r="D665" t="str">
        <f>IF(C665=Summary!$P$26,VLOOKUP(Summary!M672,Summary!$Q$26:$R$27,2),IF('Run Data'!C665=Summary!$P$28,VLOOKUP(Summary!M672,Summary!$Q$28:$R$29,2),VLOOKUP(Summary!M672,Summary!$Q$30:$R$32,2)))</f>
        <v>Sprig 2</v>
      </c>
      <c r="E665" t="str">
        <f>VLOOKUP(Summary!M675,Summary!$P$42:$Q$43,2)</f>
        <v>87b</v>
      </c>
      <c r="F665">
        <f>IF(LEFT(A665,3)="B60",20,IF(LEFT(A665,3)="B12",30,25))+B665*0.5+INT(Summary!M678*20)</f>
        <v>207</v>
      </c>
      <c r="G665">
        <f>ROUND(IF(OR(ISERROR(FIND(Summary!$P$89,CONCATENATE(C665,D665,E665))),ISERROR(FIND(Summary!$Q$89,A665))),Summary!$R$45,IF(H665&gt;Summary!$V$3,Summary!$R$46,Summary!$R$45))*(B665+30),0)</f>
        <v>4</v>
      </c>
      <c r="H665">
        <f>IF(H664&gt;Summary!$V$4,0,H664+F664)</f>
        <v>58295</v>
      </c>
      <c r="I665" s="26">
        <f>DATE(YEAR(Summary!$V$2),MONTH(Summary!$V$2),DAY(Summary!$V$2)+INT(H665/480))</f>
        <v>43711</v>
      </c>
      <c r="J665" s="27">
        <f t="shared" si="11"/>
        <v>0.4826388888888889</v>
      </c>
    </row>
    <row r="666" spans="1:10">
      <c r="A666" t="str">
        <f>VLOOKUP(Summary!M665,Summary!$P$13:$Q$24,2)</f>
        <v>B1200-lime</v>
      </c>
      <c r="B666">
        <f>ROUND(NORMINV(Summary!M667,VLOOKUP(A666,Summary!$Q$13:$S$24,3,FALSE),VLOOKUP(A666,Summary!$Q$13:$S$24,3,FALSE)/6),-1)</f>
        <v>820</v>
      </c>
      <c r="C666" t="str">
        <f>IF(AND(H666=0,C665=Summary!$P$2),Summary!$Q$2,IF(AND(H666=0,C665=Summary!$Q$2),Summary!$R$2,C665))</f>
        <v>Reed</v>
      </c>
      <c r="D666" t="str">
        <f>IF(C666=Summary!$P$26,VLOOKUP(Summary!M673,Summary!$Q$26:$R$27,2),IF('Run Data'!C666=Summary!$P$28,VLOOKUP(Summary!M673,Summary!$Q$28:$R$29,2),VLOOKUP(Summary!M673,Summary!$Q$30:$R$32,2)))</f>
        <v>Sprig 2</v>
      </c>
      <c r="E666" t="str">
        <f>VLOOKUP(Summary!M676,Summary!$P$42:$Q$43,2)</f>
        <v>86</v>
      </c>
      <c r="F666">
        <f>IF(LEFT(A666,3)="B60",20,IF(LEFT(A666,3)="B12",30,25))+B666*0.5+INT(Summary!M679*20)</f>
        <v>448</v>
      </c>
      <c r="G666">
        <f>ROUND(IF(OR(ISERROR(FIND(Summary!$P$89,CONCATENATE(C666,D666,E666))),ISERROR(FIND(Summary!$Q$89,A666))),Summary!$R$45,IF(H666&gt;Summary!$V$3,Summary!$R$46,Summary!$R$45))*(B666+30),0)</f>
        <v>9</v>
      </c>
      <c r="H666">
        <f>IF(H665&gt;Summary!$V$4,0,H665+F665)</f>
        <v>58502</v>
      </c>
      <c r="I666" s="26">
        <f>DATE(YEAR(Summary!$V$2),MONTH(Summary!$V$2),DAY(Summary!$V$2)+INT(H666/480))</f>
        <v>43711</v>
      </c>
      <c r="J666" s="27">
        <f t="shared" si="11"/>
        <v>0.62638888888888888</v>
      </c>
    </row>
    <row r="667" spans="1:10">
      <c r="A667" t="str">
        <f>VLOOKUP(Summary!M666,Summary!$P$13:$Q$24,2)</f>
        <v>B1200-plum</v>
      </c>
      <c r="B667">
        <f>ROUND(NORMINV(Summary!M668,VLOOKUP(A667,Summary!$Q$13:$S$24,3,FALSE),VLOOKUP(A667,Summary!$Q$13:$S$24,3,FALSE)/6),-1)</f>
        <v>360</v>
      </c>
      <c r="C667" t="str">
        <f>IF(AND(H667=0,C666=Summary!$P$2),Summary!$Q$2,IF(AND(H667=0,C666=Summary!$Q$2),Summary!$R$2,C666))</f>
        <v>Reed</v>
      </c>
      <c r="D667" t="str">
        <f>IF(C667=Summary!$P$26,VLOOKUP(Summary!M674,Summary!$Q$26:$R$27,2),IF('Run Data'!C667=Summary!$P$28,VLOOKUP(Summary!M674,Summary!$Q$28:$R$29,2),VLOOKUP(Summary!M674,Summary!$Q$30:$R$32,2)))</f>
        <v>Sprig 4</v>
      </c>
      <c r="E667" t="str">
        <f>VLOOKUP(Summary!M677,Summary!$P$42:$Q$43,2)</f>
        <v>86</v>
      </c>
      <c r="F667">
        <f>IF(LEFT(A667,3)="B60",20,IF(LEFT(A667,3)="B12",30,25))+B667*0.5+INT(Summary!M680*20)</f>
        <v>225</v>
      </c>
      <c r="G667">
        <f>ROUND(IF(OR(ISERROR(FIND(Summary!$P$89,CONCATENATE(C667,D667,E667))),ISERROR(FIND(Summary!$Q$89,A667))),Summary!$R$45,IF(H667&gt;Summary!$V$3,Summary!$R$46,Summary!$R$45))*(B667+30),0)</f>
        <v>4</v>
      </c>
      <c r="H667">
        <f>IF(H666&gt;Summary!$V$4,0,H666+F666)</f>
        <v>58950</v>
      </c>
      <c r="I667" s="26">
        <f>DATE(YEAR(Summary!$V$2),MONTH(Summary!$V$2),DAY(Summary!$V$2)+INT(H667/480))</f>
        <v>43712</v>
      </c>
      <c r="J667" s="27">
        <f t="shared" si="11"/>
        <v>0.60416666666666663</v>
      </c>
    </row>
    <row r="668" spans="1:10">
      <c r="A668" t="str">
        <f>VLOOKUP(Summary!M667,Summary!$P$13:$Q$24,2)</f>
        <v>B1200-fire</v>
      </c>
      <c r="B668">
        <f>ROUND(NORMINV(Summary!M669,VLOOKUP(A668,Summary!$Q$13:$S$24,3,FALSE),VLOOKUP(A668,Summary!$Q$13:$S$24,3,FALSE)/6),-1)</f>
        <v>1220</v>
      </c>
      <c r="C668" t="str">
        <f>IF(AND(H668=0,C667=Summary!$P$2),Summary!$Q$2,IF(AND(H668=0,C667=Summary!$Q$2),Summary!$R$2,C667))</f>
        <v>Reed</v>
      </c>
      <c r="D668" t="str">
        <f>IF(C668=Summary!$P$26,VLOOKUP(Summary!M675,Summary!$Q$26:$R$27,2),IF('Run Data'!C668=Summary!$P$28,VLOOKUP(Summary!M675,Summary!$Q$28:$R$29,2),VLOOKUP(Summary!M675,Summary!$Q$30:$R$32,2)))</f>
        <v>Sprig 4</v>
      </c>
      <c r="E668" t="str">
        <f>VLOOKUP(Summary!M678,Summary!$P$42:$Q$43,2)</f>
        <v>86</v>
      </c>
      <c r="F668">
        <f>IF(LEFT(A668,3)="B60",20,IF(LEFT(A668,3)="B12",30,25))+B668*0.5+INT(Summary!M681*20)</f>
        <v>641</v>
      </c>
      <c r="G668">
        <f>ROUND(IF(OR(ISERROR(FIND(Summary!$P$89,CONCATENATE(C668,D668,E668))),ISERROR(FIND(Summary!$Q$89,A668))),Summary!$R$45,IF(H668&gt;Summary!$V$3,Summary!$R$46,Summary!$R$45))*(B668+30),0)</f>
        <v>13</v>
      </c>
      <c r="H668">
        <f>IF(H667&gt;Summary!$V$4,0,H667+F667)</f>
        <v>59175</v>
      </c>
      <c r="I668" s="26">
        <f>DATE(YEAR(Summary!$V$2),MONTH(Summary!$V$2),DAY(Summary!$V$2)+INT(H668/480))</f>
        <v>43713</v>
      </c>
      <c r="J668" s="27">
        <f t="shared" si="11"/>
        <v>0.42708333333333331</v>
      </c>
    </row>
    <row r="669" spans="1:10">
      <c r="A669" t="str">
        <f>VLOOKUP(Summary!M668,Summary!$P$13:$Q$24,2)</f>
        <v>B600-sky</v>
      </c>
      <c r="B669">
        <f>ROUND(NORMINV(Summary!M670,VLOOKUP(A669,Summary!$Q$13:$S$24,3,FALSE),VLOOKUP(A669,Summary!$Q$13:$S$24,3,FALSE)/6),-1)</f>
        <v>500</v>
      </c>
      <c r="C669" t="str">
        <f>IF(AND(H669=0,C668=Summary!$P$2),Summary!$Q$2,IF(AND(H669=0,C668=Summary!$Q$2),Summary!$R$2,C668))</f>
        <v>Reed</v>
      </c>
      <c r="D669" t="str">
        <f>IF(C669=Summary!$P$26,VLOOKUP(Summary!M676,Summary!$Q$26:$R$27,2),IF('Run Data'!C669=Summary!$P$28,VLOOKUP(Summary!M676,Summary!$Q$28:$R$29,2),VLOOKUP(Summary!M676,Summary!$Q$30:$R$32,2)))</f>
        <v>Sprig 2</v>
      </c>
      <c r="E669" t="str">
        <f>VLOOKUP(Summary!M679,Summary!$P$42:$Q$43,2)</f>
        <v>86</v>
      </c>
      <c r="F669">
        <f>IF(LEFT(A669,3)="B60",20,IF(LEFT(A669,3)="B12",30,25))+B669*0.5+INT(Summary!M682*20)</f>
        <v>281</v>
      </c>
      <c r="G669">
        <f>ROUND(IF(OR(ISERROR(FIND(Summary!$P$89,CONCATENATE(C669,D669,E669))),ISERROR(FIND(Summary!$Q$89,A669))),Summary!$R$45,IF(H669&gt;Summary!$V$3,Summary!$R$46,Summary!$R$45))*(B669+30),0)</f>
        <v>5</v>
      </c>
      <c r="H669">
        <f>IF(H668&gt;Summary!$V$4,0,H668+F668)</f>
        <v>59816</v>
      </c>
      <c r="I669" s="26">
        <f>DATE(YEAR(Summary!$V$2),MONTH(Summary!$V$2),DAY(Summary!$V$2)+INT(H669/480))</f>
        <v>43714</v>
      </c>
      <c r="J669" s="27">
        <f t="shared" si="11"/>
        <v>0.53888888888888886</v>
      </c>
    </row>
    <row r="670" spans="1:10">
      <c r="A670" t="str">
        <f>VLOOKUP(Summary!M669,Summary!$P$13:$Q$24,2)</f>
        <v>B1200-fire</v>
      </c>
      <c r="B670">
        <f>ROUND(NORMINV(Summary!M671,VLOOKUP(A670,Summary!$Q$13:$S$24,3,FALSE),VLOOKUP(A670,Summary!$Q$13:$S$24,3,FALSE)/6),-1)</f>
        <v>1300</v>
      </c>
      <c r="C670" t="str">
        <f>IF(AND(H670=0,C669=Summary!$P$2),Summary!$Q$2,IF(AND(H670=0,C669=Summary!$Q$2),Summary!$R$2,C669))</f>
        <v>Reed</v>
      </c>
      <c r="D670" t="str">
        <f>IF(C670=Summary!$P$26,VLOOKUP(Summary!M677,Summary!$Q$26:$R$27,2),IF('Run Data'!C670=Summary!$P$28,VLOOKUP(Summary!M677,Summary!$Q$28:$R$29,2),VLOOKUP(Summary!M677,Summary!$Q$30:$R$32,2)))</f>
        <v>Sprig 2</v>
      </c>
      <c r="E670" t="str">
        <f>VLOOKUP(Summary!M680,Summary!$P$42:$Q$43,2)</f>
        <v>86</v>
      </c>
      <c r="F670">
        <f>IF(LEFT(A670,3)="B60",20,IF(LEFT(A670,3)="B12",30,25))+B670*0.5+INT(Summary!M683*20)</f>
        <v>692</v>
      </c>
      <c r="G670">
        <f>ROUND(IF(OR(ISERROR(FIND(Summary!$P$89,CONCATENATE(C670,D670,E670))),ISERROR(FIND(Summary!$Q$89,A670))),Summary!$R$45,IF(H670&gt;Summary!$V$3,Summary!$R$46,Summary!$R$45))*(B670+30),0)</f>
        <v>13</v>
      </c>
      <c r="H670">
        <f>IF(H669&gt;Summary!$V$4,0,H669+F669)</f>
        <v>60097</v>
      </c>
      <c r="I670" s="26">
        <f>DATE(YEAR(Summary!$V$2),MONTH(Summary!$V$2),DAY(Summary!$V$2)+INT(H670/480))</f>
        <v>43715</v>
      </c>
      <c r="J670" s="27">
        <f t="shared" si="11"/>
        <v>0.40069444444444446</v>
      </c>
    </row>
    <row r="671" spans="1:10">
      <c r="A671" t="str">
        <f>VLOOKUP(Summary!M670,Summary!$P$13:$Q$24,2)</f>
        <v>B1200-fire</v>
      </c>
      <c r="B671">
        <f>ROUND(NORMINV(Summary!M672,VLOOKUP(A671,Summary!$Q$13:$S$24,3,FALSE),VLOOKUP(A671,Summary!$Q$13:$S$24,3,FALSE)/6),-1)</f>
        <v>1270</v>
      </c>
      <c r="C671" t="str">
        <f>IF(AND(H671=0,C670=Summary!$P$2),Summary!$Q$2,IF(AND(H671=0,C670=Summary!$Q$2),Summary!$R$2,C670))</f>
        <v>Reed</v>
      </c>
      <c r="D671" t="str">
        <f>IF(C671=Summary!$P$26,VLOOKUP(Summary!M678,Summary!$Q$26:$R$27,2),IF('Run Data'!C671=Summary!$P$28,VLOOKUP(Summary!M678,Summary!$Q$28:$R$29,2),VLOOKUP(Summary!M678,Summary!$Q$30:$R$32,2)))</f>
        <v>Sprig 2</v>
      </c>
      <c r="E671" t="str">
        <f>VLOOKUP(Summary!M681,Summary!$P$42:$Q$43,2)</f>
        <v>86</v>
      </c>
      <c r="F671">
        <f>IF(LEFT(A671,3)="B60",20,IF(LEFT(A671,3)="B12",30,25))+B671*0.5+INT(Summary!M684*20)</f>
        <v>675</v>
      </c>
      <c r="G671">
        <f>ROUND(IF(OR(ISERROR(FIND(Summary!$P$89,CONCATENATE(C671,D671,E671))),ISERROR(FIND(Summary!$Q$89,A671))),Summary!$R$45,IF(H671&gt;Summary!$V$3,Summary!$R$46,Summary!$R$45))*(B671+30),0)</f>
        <v>13</v>
      </c>
      <c r="H671">
        <f>IF(H670&gt;Summary!$V$4,0,H670+F670)</f>
        <v>60789</v>
      </c>
      <c r="I671" s="26">
        <f>DATE(YEAR(Summary!$V$2),MONTH(Summary!$V$2),DAY(Summary!$V$2)+INT(H671/480))</f>
        <v>43716</v>
      </c>
      <c r="J671" s="27">
        <f t="shared" si="11"/>
        <v>0.54791666666666672</v>
      </c>
    </row>
    <row r="672" spans="1:10">
      <c r="A672" t="str">
        <f>VLOOKUP(Summary!M671,Summary!$P$13:$Q$24,2)</f>
        <v>B1200-lime</v>
      </c>
      <c r="B672">
        <f>ROUND(NORMINV(Summary!M673,VLOOKUP(A672,Summary!$Q$13:$S$24,3,FALSE),VLOOKUP(A672,Summary!$Q$13:$S$24,3,FALSE)/6),-1)</f>
        <v>910</v>
      </c>
      <c r="C672" t="str">
        <f>IF(AND(H672=0,C671=Summary!$P$2),Summary!$Q$2,IF(AND(H672=0,C671=Summary!$Q$2),Summary!$R$2,C671))</f>
        <v>Reed</v>
      </c>
      <c r="D672" t="str">
        <f>IF(C672=Summary!$P$26,VLOOKUP(Summary!M679,Summary!$Q$26:$R$27,2),IF('Run Data'!C672=Summary!$P$28,VLOOKUP(Summary!M679,Summary!$Q$28:$R$29,2),VLOOKUP(Summary!M679,Summary!$Q$30:$R$32,2)))</f>
        <v>Sprig 2</v>
      </c>
      <c r="E672" t="str">
        <f>VLOOKUP(Summary!M682,Summary!$P$42:$Q$43,2)</f>
        <v>86</v>
      </c>
      <c r="F672">
        <f>IF(LEFT(A672,3)="B60",20,IF(LEFT(A672,3)="B12",30,25))+B672*0.5+INT(Summary!M685*20)</f>
        <v>485</v>
      </c>
      <c r="G672">
        <f>ROUND(IF(OR(ISERROR(FIND(Summary!$P$89,CONCATENATE(C672,D672,E672))),ISERROR(FIND(Summary!$Q$89,A672))),Summary!$R$45,IF(H672&gt;Summary!$V$3,Summary!$R$46,Summary!$R$45))*(B672+30),0)</f>
        <v>9</v>
      </c>
      <c r="H672">
        <f>IF(H671&gt;Summary!$V$4,0,H671+F671)</f>
        <v>61464</v>
      </c>
      <c r="I672" s="26">
        <f>DATE(YEAR(Summary!$V$2),MONTH(Summary!$V$2),DAY(Summary!$V$2)+INT(H672/480))</f>
        <v>43718</v>
      </c>
      <c r="J672" s="27">
        <f t="shared" si="11"/>
        <v>0.35000000000000003</v>
      </c>
    </row>
    <row r="673" spans="1:10">
      <c r="A673" t="str">
        <f>VLOOKUP(Summary!M672,Summary!$P$13:$Q$24,2)</f>
        <v>B1200-lime</v>
      </c>
      <c r="B673">
        <f>ROUND(NORMINV(Summary!M674,VLOOKUP(A673,Summary!$Q$13:$S$24,3,FALSE),VLOOKUP(A673,Summary!$Q$13:$S$24,3,FALSE)/6),-1)</f>
        <v>940</v>
      </c>
      <c r="C673" t="str">
        <f>IF(AND(H673=0,C672=Summary!$P$2),Summary!$Q$2,IF(AND(H673=0,C672=Summary!$Q$2),Summary!$R$2,C672))</f>
        <v>Reed</v>
      </c>
      <c r="D673" t="str">
        <f>IF(C673=Summary!$P$26,VLOOKUP(Summary!M680,Summary!$Q$26:$R$27,2),IF('Run Data'!C673=Summary!$P$28,VLOOKUP(Summary!M680,Summary!$Q$28:$R$29,2),VLOOKUP(Summary!M680,Summary!$Q$30:$R$32,2)))</f>
        <v>Sprig 2</v>
      </c>
      <c r="E673" t="str">
        <f>VLOOKUP(Summary!M683,Summary!$P$42:$Q$43,2)</f>
        <v>86</v>
      </c>
      <c r="F673">
        <f>IF(LEFT(A673,3)="B60",20,IF(LEFT(A673,3)="B12",30,25))+B673*0.5+INT(Summary!M686*20)</f>
        <v>504</v>
      </c>
      <c r="G673">
        <f>ROUND(IF(OR(ISERROR(FIND(Summary!$P$89,CONCATENATE(C673,D673,E673))),ISERROR(FIND(Summary!$Q$89,A673))),Summary!$R$45,IF(H673&gt;Summary!$V$3,Summary!$R$46,Summary!$R$45))*(B673+30),0)</f>
        <v>10</v>
      </c>
      <c r="H673">
        <f>IF(H672&gt;Summary!$V$4,0,H672+F672)</f>
        <v>61949</v>
      </c>
      <c r="I673" s="26">
        <f>DATE(YEAR(Summary!$V$2),MONTH(Summary!$V$2),DAY(Summary!$V$2)+INT(H673/480))</f>
        <v>43719</v>
      </c>
      <c r="J673" s="27">
        <f t="shared" si="11"/>
        <v>0.35347222222222219</v>
      </c>
    </row>
    <row r="674" spans="1:10">
      <c r="A674" t="str">
        <f>VLOOKUP(Summary!M673,Summary!$P$13:$Q$24,2)</f>
        <v>B1700-sky</v>
      </c>
      <c r="B674">
        <f>ROUND(NORMINV(Summary!M675,VLOOKUP(A674,Summary!$Q$13:$S$24,3,FALSE),VLOOKUP(A674,Summary!$Q$13:$S$24,3,FALSE)/6),-1)</f>
        <v>760</v>
      </c>
      <c r="C674" t="str">
        <f>IF(AND(H674=0,C673=Summary!$P$2),Summary!$Q$2,IF(AND(H674=0,C673=Summary!$Q$2),Summary!$R$2,C673))</f>
        <v>Reed</v>
      </c>
      <c r="D674" t="str">
        <f>IF(C674=Summary!$P$26,VLOOKUP(Summary!M681,Summary!$Q$26:$R$27,2),IF('Run Data'!C674=Summary!$P$28,VLOOKUP(Summary!M681,Summary!$Q$28:$R$29,2),VLOOKUP(Summary!M681,Summary!$Q$30:$R$32,2)))</f>
        <v>Sprig 2</v>
      </c>
      <c r="E674" t="str">
        <f>VLOOKUP(Summary!M684,Summary!$P$42:$Q$43,2)</f>
        <v>86</v>
      </c>
      <c r="F674">
        <f>IF(LEFT(A674,3)="B60",20,IF(LEFT(A674,3)="B12",30,25))+B674*0.5+INT(Summary!M687*20)</f>
        <v>411</v>
      </c>
      <c r="G674">
        <f>ROUND(IF(OR(ISERROR(FIND(Summary!$P$89,CONCATENATE(C674,D674,E674))),ISERROR(FIND(Summary!$Q$89,A674))),Summary!$R$45,IF(H674&gt;Summary!$V$3,Summary!$R$46,Summary!$R$45))*(B674+30),0)</f>
        <v>95</v>
      </c>
      <c r="H674">
        <f>IF(H673&gt;Summary!$V$4,0,H673+F673)</f>
        <v>62453</v>
      </c>
      <c r="I674" s="26">
        <f>DATE(YEAR(Summary!$V$2),MONTH(Summary!$V$2),DAY(Summary!$V$2)+INT(H674/480))</f>
        <v>43720</v>
      </c>
      <c r="J674" s="27">
        <f t="shared" si="11"/>
        <v>0.37013888888888885</v>
      </c>
    </row>
    <row r="675" spans="1:10">
      <c r="A675" t="str">
        <f>VLOOKUP(Summary!M674,Summary!$P$13:$Q$24,2)</f>
        <v>B1700-fire</v>
      </c>
      <c r="B675">
        <f>ROUND(NORMINV(Summary!M676,VLOOKUP(A675,Summary!$Q$13:$S$24,3,FALSE),VLOOKUP(A675,Summary!$Q$13:$S$24,3,FALSE)/6),-1)</f>
        <v>750</v>
      </c>
      <c r="C675" t="str">
        <f>IF(AND(H675=0,C674=Summary!$P$2),Summary!$Q$2,IF(AND(H675=0,C674=Summary!$Q$2),Summary!$R$2,C674))</f>
        <v>Reed</v>
      </c>
      <c r="D675" t="str">
        <f>IF(C675=Summary!$P$26,VLOOKUP(Summary!M682,Summary!$Q$26:$R$27,2),IF('Run Data'!C675=Summary!$P$28,VLOOKUP(Summary!M682,Summary!$Q$28:$R$29,2),VLOOKUP(Summary!M682,Summary!$Q$30:$R$32,2)))</f>
        <v>Sprig 2</v>
      </c>
      <c r="E675" t="str">
        <f>VLOOKUP(Summary!M685,Summary!$P$42:$Q$43,2)</f>
        <v>86</v>
      </c>
      <c r="F675">
        <f>IF(LEFT(A675,3)="B60",20,IF(LEFT(A675,3)="B12",30,25))+B675*0.5+INT(Summary!M688*20)</f>
        <v>404</v>
      </c>
      <c r="G675">
        <f>ROUND(IF(OR(ISERROR(FIND(Summary!$P$89,CONCATENATE(C675,D675,E675))),ISERROR(FIND(Summary!$Q$89,A675))),Summary!$R$45,IF(H675&gt;Summary!$V$3,Summary!$R$46,Summary!$R$45))*(B675+30),0)</f>
        <v>94</v>
      </c>
      <c r="H675">
        <f>IF(H674&gt;Summary!$V$4,0,H674+F674)</f>
        <v>62864</v>
      </c>
      <c r="I675" s="26">
        <f>DATE(YEAR(Summary!$V$2),MONTH(Summary!$V$2),DAY(Summary!$V$2)+INT(H675/480))</f>
        <v>43720</v>
      </c>
      <c r="J675" s="27">
        <f t="shared" si="11"/>
        <v>0.65555555555555556</v>
      </c>
    </row>
    <row r="676" spans="1:10">
      <c r="A676" t="str">
        <f>VLOOKUP(Summary!M675,Summary!$P$13:$Q$24,2)</f>
        <v>B1700-lime</v>
      </c>
      <c r="B676">
        <f>ROUND(NORMINV(Summary!M677,VLOOKUP(A676,Summary!$Q$13:$S$24,3,FALSE),VLOOKUP(A676,Summary!$Q$13:$S$24,3,FALSE)/6),-1)</f>
        <v>440</v>
      </c>
      <c r="C676" t="str">
        <f>IF(AND(H676=0,C675=Summary!$P$2),Summary!$Q$2,IF(AND(H676=0,C675=Summary!$Q$2),Summary!$R$2,C675))</f>
        <v>Reed</v>
      </c>
      <c r="D676" t="str">
        <f>IF(C676=Summary!$P$26,VLOOKUP(Summary!M683,Summary!$Q$26:$R$27,2),IF('Run Data'!C676=Summary!$P$28,VLOOKUP(Summary!M683,Summary!$Q$28:$R$29,2),VLOOKUP(Summary!M683,Summary!$Q$30:$R$32,2)))</f>
        <v>Sprig 2</v>
      </c>
      <c r="E676" t="str">
        <f>VLOOKUP(Summary!M686,Summary!$P$42:$Q$43,2)</f>
        <v>86</v>
      </c>
      <c r="F676">
        <f>IF(LEFT(A676,3)="B60",20,IF(LEFT(A676,3)="B12",30,25))+B676*0.5+INT(Summary!M689*20)</f>
        <v>259</v>
      </c>
      <c r="G676">
        <f>ROUND(IF(OR(ISERROR(FIND(Summary!$P$89,CONCATENATE(C676,D676,E676))),ISERROR(FIND(Summary!$Q$89,A676))),Summary!$R$45,IF(H676&gt;Summary!$V$3,Summary!$R$46,Summary!$R$45))*(B676+30),0)</f>
        <v>56</v>
      </c>
      <c r="H676">
        <f>IF(H675&gt;Summary!$V$4,0,H675+F675)</f>
        <v>63268</v>
      </c>
      <c r="I676" s="26">
        <f>DATE(YEAR(Summary!$V$2),MONTH(Summary!$V$2),DAY(Summary!$V$2)+INT(H676/480))</f>
        <v>43721</v>
      </c>
      <c r="J676" s="27">
        <f t="shared" si="11"/>
        <v>0.60277777777777775</v>
      </c>
    </row>
    <row r="677" spans="1:10">
      <c r="A677" t="str">
        <f>VLOOKUP(Summary!M676,Summary!$P$13:$Q$24,2)</f>
        <v>B1200-fire</v>
      </c>
      <c r="B677">
        <f>ROUND(NORMINV(Summary!M678,VLOOKUP(A677,Summary!$Q$13:$S$24,3,FALSE),VLOOKUP(A677,Summary!$Q$13:$S$24,3,FALSE)/6),-1)</f>
        <v>980</v>
      </c>
      <c r="C677" t="str">
        <f>IF(AND(H677=0,C676=Summary!$P$2),Summary!$Q$2,IF(AND(H677=0,C676=Summary!$Q$2),Summary!$R$2,C676))</f>
        <v>Reed</v>
      </c>
      <c r="D677" t="str">
        <f>IF(C677=Summary!$P$26,VLOOKUP(Summary!M684,Summary!$Q$26:$R$27,2),IF('Run Data'!C677=Summary!$P$28,VLOOKUP(Summary!M684,Summary!$Q$28:$R$29,2),VLOOKUP(Summary!M684,Summary!$Q$30:$R$32,2)))</f>
        <v>Sprig 2</v>
      </c>
      <c r="E677" t="str">
        <f>VLOOKUP(Summary!M687,Summary!$P$42:$Q$43,2)</f>
        <v>86</v>
      </c>
      <c r="F677">
        <f>IF(LEFT(A677,3)="B60",20,IF(LEFT(A677,3)="B12",30,25))+B677*0.5+INT(Summary!M690*20)</f>
        <v>521</v>
      </c>
      <c r="G677">
        <f>ROUND(IF(OR(ISERROR(FIND(Summary!$P$89,CONCATENATE(C677,D677,E677))),ISERROR(FIND(Summary!$Q$89,A677))),Summary!$R$45,IF(H677&gt;Summary!$V$3,Summary!$R$46,Summary!$R$45))*(B677+30),0)</f>
        <v>10</v>
      </c>
      <c r="H677">
        <f>IF(H676&gt;Summary!$V$4,0,H676+F676)</f>
        <v>63527</v>
      </c>
      <c r="I677" s="26">
        <f>DATE(YEAR(Summary!$V$2),MONTH(Summary!$V$2),DAY(Summary!$V$2)+INT(H677/480))</f>
        <v>43722</v>
      </c>
      <c r="J677" s="27">
        <f t="shared" si="11"/>
        <v>0.44930555555555557</v>
      </c>
    </row>
    <row r="678" spans="1:10">
      <c r="A678" t="str">
        <f>VLOOKUP(Summary!M677,Summary!$P$13:$Q$24,2)</f>
        <v>B1700-plum</v>
      </c>
      <c r="B678">
        <f>ROUND(NORMINV(Summary!M679,VLOOKUP(A678,Summary!$Q$13:$S$24,3,FALSE),VLOOKUP(A678,Summary!$Q$13:$S$24,3,FALSE)/6),-1)</f>
        <v>290</v>
      </c>
      <c r="C678" t="str">
        <f>IF(AND(H678=0,C677=Summary!$P$2),Summary!$Q$2,IF(AND(H678=0,C677=Summary!$Q$2),Summary!$R$2,C677))</f>
        <v>Reed</v>
      </c>
      <c r="D678" t="str">
        <f>IF(C678=Summary!$P$26,VLOOKUP(Summary!M685,Summary!$Q$26:$R$27,2),IF('Run Data'!C678=Summary!$P$28,VLOOKUP(Summary!M685,Summary!$Q$28:$R$29,2),VLOOKUP(Summary!M685,Summary!$Q$30:$R$32,2)))</f>
        <v>Sprig 2</v>
      </c>
      <c r="E678" t="str">
        <f>VLOOKUP(Summary!M688,Summary!$P$42:$Q$43,2)</f>
        <v>86</v>
      </c>
      <c r="F678">
        <f>IF(LEFT(A678,3)="B60",20,IF(LEFT(A678,3)="B12",30,25))+B678*0.5+INT(Summary!M691*20)</f>
        <v>181</v>
      </c>
      <c r="G678">
        <f>ROUND(IF(OR(ISERROR(FIND(Summary!$P$89,CONCATENATE(C678,D678,E678))),ISERROR(FIND(Summary!$Q$89,A678))),Summary!$R$45,IF(H678&gt;Summary!$V$3,Summary!$R$46,Summary!$R$45))*(B678+30),0)</f>
        <v>38</v>
      </c>
      <c r="H678">
        <f>IF(H677&gt;Summary!$V$4,0,H677+F677)</f>
        <v>64048</v>
      </c>
      <c r="I678" s="26">
        <f>DATE(YEAR(Summary!$V$2),MONTH(Summary!$V$2),DAY(Summary!$V$2)+INT(H678/480))</f>
        <v>43723</v>
      </c>
      <c r="J678" s="27">
        <f t="shared" si="11"/>
        <v>0.4777777777777778</v>
      </c>
    </row>
    <row r="679" spans="1:10">
      <c r="A679" t="str">
        <f>VLOOKUP(Summary!M678,Summary!$P$13:$Q$24,2)</f>
        <v>B600-fire</v>
      </c>
      <c r="B679">
        <f>ROUND(NORMINV(Summary!M680,VLOOKUP(A679,Summary!$Q$13:$S$24,3,FALSE),VLOOKUP(A679,Summary!$Q$13:$S$24,3,FALSE)/6),-1)</f>
        <v>450</v>
      </c>
      <c r="C679" t="str">
        <f>IF(AND(H679=0,C678=Summary!$P$2),Summary!$Q$2,IF(AND(H679=0,C678=Summary!$Q$2),Summary!$R$2,C678))</f>
        <v>Reed</v>
      </c>
      <c r="D679" t="str">
        <f>IF(C679=Summary!$P$26,VLOOKUP(Summary!M686,Summary!$Q$26:$R$27,2),IF('Run Data'!C679=Summary!$P$28,VLOOKUP(Summary!M686,Summary!$Q$28:$R$29,2),VLOOKUP(Summary!M686,Summary!$Q$30:$R$32,2)))</f>
        <v>Sprig 2</v>
      </c>
      <c r="E679" t="str">
        <f>VLOOKUP(Summary!M689,Summary!$P$42:$Q$43,2)</f>
        <v>86</v>
      </c>
      <c r="F679">
        <f>IF(LEFT(A679,3)="B60",20,IF(LEFT(A679,3)="B12",30,25))+B679*0.5+INT(Summary!M692*20)</f>
        <v>246</v>
      </c>
      <c r="G679">
        <f>ROUND(IF(OR(ISERROR(FIND(Summary!$P$89,CONCATENATE(C679,D679,E679))),ISERROR(FIND(Summary!$Q$89,A679))),Summary!$R$45,IF(H679&gt;Summary!$V$3,Summary!$R$46,Summary!$R$45))*(B679+30),0)</f>
        <v>5</v>
      </c>
      <c r="H679">
        <f>IF(H678&gt;Summary!$V$4,0,H678+F678)</f>
        <v>64229</v>
      </c>
      <c r="I679" s="26">
        <f>DATE(YEAR(Summary!$V$2),MONTH(Summary!$V$2),DAY(Summary!$V$2)+INT(H679/480))</f>
        <v>43723</v>
      </c>
      <c r="J679" s="27">
        <f t="shared" si="11"/>
        <v>0.60347222222222219</v>
      </c>
    </row>
    <row r="680" spans="1:10">
      <c r="A680" t="str">
        <f>VLOOKUP(Summary!M679,Summary!$P$13:$Q$24,2)</f>
        <v>B1200-sky</v>
      </c>
      <c r="B680">
        <f>ROUND(NORMINV(Summary!M681,VLOOKUP(A680,Summary!$Q$13:$S$24,3,FALSE),VLOOKUP(A680,Summary!$Q$13:$S$24,3,FALSE)/6),-1)</f>
        <v>930</v>
      </c>
      <c r="C680" t="str">
        <f>IF(AND(H680=0,C679=Summary!$P$2),Summary!$Q$2,IF(AND(H680=0,C679=Summary!$Q$2),Summary!$R$2,C679))</f>
        <v>Reed</v>
      </c>
      <c r="D680" t="str">
        <f>IF(C680=Summary!$P$26,VLOOKUP(Summary!M687,Summary!$Q$26:$R$27,2),IF('Run Data'!C680=Summary!$P$28,VLOOKUP(Summary!M687,Summary!$Q$28:$R$29,2),VLOOKUP(Summary!M687,Summary!$Q$30:$R$32,2)))</f>
        <v>Sprig 2</v>
      </c>
      <c r="E680" t="str">
        <f>VLOOKUP(Summary!M690,Summary!$P$42:$Q$43,2)</f>
        <v>86</v>
      </c>
      <c r="F680">
        <f>IF(LEFT(A680,3)="B60",20,IF(LEFT(A680,3)="B12",30,25))+B680*0.5+INT(Summary!M693*20)</f>
        <v>496</v>
      </c>
      <c r="G680">
        <f>ROUND(IF(OR(ISERROR(FIND(Summary!$P$89,CONCATENATE(C680,D680,E680))),ISERROR(FIND(Summary!$Q$89,A680))),Summary!$R$45,IF(H680&gt;Summary!$V$3,Summary!$R$46,Summary!$R$45))*(B680+30),0)</f>
        <v>10</v>
      </c>
      <c r="H680">
        <f>IF(H679&gt;Summary!$V$4,0,H679+F679)</f>
        <v>64475</v>
      </c>
      <c r="I680" s="26">
        <f>DATE(YEAR(Summary!$V$2),MONTH(Summary!$V$2),DAY(Summary!$V$2)+INT(H680/480))</f>
        <v>43724</v>
      </c>
      <c r="J680" s="27">
        <f t="shared" si="11"/>
        <v>0.44097222222222227</v>
      </c>
    </row>
    <row r="681" spans="1:10">
      <c r="A681" t="str">
        <f>VLOOKUP(Summary!M680,Summary!$P$13:$Q$24,2)</f>
        <v>B1700-sky</v>
      </c>
      <c r="B681">
        <f>ROUND(NORMINV(Summary!M682,VLOOKUP(A681,Summary!$Q$13:$S$24,3,FALSE),VLOOKUP(A681,Summary!$Q$13:$S$24,3,FALSE)/6),-1)</f>
        <v>570</v>
      </c>
      <c r="C681" t="str">
        <f>IF(AND(H681=0,C680=Summary!$P$2),Summary!$Q$2,IF(AND(H681=0,C680=Summary!$Q$2),Summary!$R$2,C680))</f>
        <v>Reed</v>
      </c>
      <c r="D681" t="str">
        <f>IF(C681=Summary!$P$26,VLOOKUP(Summary!M688,Summary!$Q$26:$R$27,2),IF('Run Data'!C681=Summary!$P$28,VLOOKUP(Summary!M688,Summary!$Q$28:$R$29,2),VLOOKUP(Summary!M688,Summary!$Q$30:$R$32,2)))</f>
        <v>Sprig 2</v>
      </c>
      <c r="E681" t="str">
        <f>VLOOKUP(Summary!M691,Summary!$P$42:$Q$43,2)</f>
        <v>86</v>
      </c>
      <c r="F681">
        <f>IF(LEFT(A681,3)="B60",20,IF(LEFT(A681,3)="B12",30,25))+B681*0.5+INT(Summary!M694*20)</f>
        <v>320</v>
      </c>
      <c r="G681">
        <f>ROUND(IF(OR(ISERROR(FIND(Summary!$P$89,CONCATENATE(C681,D681,E681))),ISERROR(FIND(Summary!$Q$89,A681))),Summary!$R$45,IF(H681&gt;Summary!$V$3,Summary!$R$46,Summary!$R$45))*(B681+30),0)</f>
        <v>72</v>
      </c>
      <c r="H681">
        <f>IF(H680&gt;Summary!$V$4,0,H680+F680)</f>
        <v>64971</v>
      </c>
      <c r="I681" s="26">
        <f>DATE(YEAR(Summary!$V$2),MONTH(Summary!$V$2),DAY(Summary!$V$2)+INT(H681/480))</f>
        <v>43725</v>
      </c>
      <c r="J681" s="27">
        <f t="shared" si="11"/>
        <v>0.45208333333333334</v>
      </c>
    </row>
    <row r="682" spans="1:10">
      <c r="A682" t="str">
        <f>VLOOKUP(Summary!M681,Summary!$P$13:$Q$24,2)</f>
        <v>B600-sky</v>
      </c>
      <c r="B682">
        <f>ROUND(NORMINV(Summary!M683,VLOOKUP(A682,Summary!$Q$13:$S$24,3,FALSE),VLOOKUP(A682,Summary!$Q$13:$S$24,3,FALSE)/6),-1)</f>
        <v>530</v>
      </c>
      <c r="C682" t="str">
        <f>IF(AND(H682=0,C681=Summary!$P$2),Summary!$Q$2,IF(AND(H682=0,C681=Summary!$Q$2),Summary!$R$2,C681))</f>
        <v>Reed</v>
      </c>
      <c r="D682" t="str">
        <f>IF(C682=Summary!$P$26,VLOOKUP(Summary!M689,Summary!$Q$26:$R$27,2),IF('Run Data'!C682=Summary!$P$28,VLOOKUP(Summary!M689,Summary!$Q$28:$R$29,2),VLOOKUP(Summary!M689,Summary!$Q$30:$R$32,2)))</f>
        <v>Sprig 2</v>
      </c>
      <c r="E682" t="str">
        <f>VLOOKUP(Summary!M692,Summary!$P$42:$Q$43,2)</f>
        <v>86</v>
      </c>
      <c r="F682">
        <f>IF(LEFT(A682,3)="B60",20,IF(LEFT(A682,3)="B12",30,25))+B682*0.5+INT(Summary!M695*20)</f>
        <v>285</v>
      </c>
      <c r="G682">
        <f>ROUND(IF(OR(ISERROR(FIND(Summary!$P$89,CONCATENATE(C682,D682,E682))),ISERROR(FIND(Summary!$Q$89,A682))),Summary!$R$45,IF(H682&gt;Summary!$V$3,Summary!$R$46,Summary!$R$45))*(B682+30),0)</f>
        <v>6</v>
      </c>
      <c r="H682">
        <f>IF(H681&gt;Summary!$V$4,0,H681+F681)</f>
        <v>65291</v>
      </c>
      <c r="I682" s="26">
        <f>DATE(YEAR(Summary!$V$2),MONTH(Summary!$V$2),DAY(Summary!$V$2)+INT(H682/480))</f>
        <v>43726</v>
      </c>
      <c r="J682" s="27">
        <f t="shared" si="11"/>
        <v>0.34097222222222223</v>
      </c>
    </row>
    <row r="683" spans="1:10">
      <c r="A683" t="str">
        <f>VLOOKUP(Summary!M682,Summary!$P$13:$Q$24,2)</f>
        <v>B1200-lime</v>
      </c>
      <c r="B683">
        <f>ROUND(NORMINV(Summary!M684,VLOOKUP(A683,Summary!$Q$13:$S$24,3,FALSE),VLOOKUP(A683,Summary!$Q$13:$S$24,3,FALSE)/6),-1)</f>
        <v>810</v>
      </c>
      <c r="C683" t="str">
        <f>IF(AND(H683=0,C682=Summary!$P$2),Summary!$Q$2,IF(AND(H683=0,C682=Summary!$Q$2),Summary!$R$2,C682))</f>
        <v>Reed</v>
      </c>
      <c r="D683" t="str">
        <f>IF(C683=Summary!$P$26,VLOOKUP(Summary!M690,Summary!$Q$26:$R$27,2),IF('Run Data'!C683=Summary!$P$28,VLOOKUP(Summary!M690,Summary!$Q$28:$R$29,2),VLOOKUP(Summary!M690,Summary!$Q$30:$R$32,2)))</f>
        <v>Sprig 2</v>
      </c>
      <c r="E683" t="str">
        <f>VLOOKUP(Summary!M693,Summary!$P$42:$Q$43,2)</f>
        <v>86</v>
      </c>
      <c r="F683">
        <f>IF(LEFT(A683,3)="B60",20,IF(LEFT(A683,3)="B12",30,25))+B683*0.5+INT(Summary!M696*20)</f>
        <v>444</v>
      </c>
      <c r="G683">
        <f>ROUND(IF(OR(ISERROR(FIND(Summary!$P$89,CONCATENATE(C683,D683,E683))),ISERROR(FIND(Summary!$Q$89,A683))),Summary!$R$45,IF(H683&gt;Summary!$V$3,Summary!$R$46,Summary!$R$45))*(B683+30),0)</f>
        <v>8</v>
      </c>
      <c r="H683">
        <f>IF(H682&gt;Summary!$V$4,0,H682+F682)</f>
        <v>65576</v>
      </c>
      <c r="I683" s="26">
        <f>DATE(YEAR(Summary!$V$2),MONTH(Summary!$V$2),DAY(Summary!$V$2)+INT(H683/480))</f>
        <v>43726</v>
      </c>
      <c r="J683" s="27">
        <f t="shared" si="11"/>
        <v>0.53888888888888886</v>
      </c>
    </row>
    <row r="684" spans="1:10">
      <c r="A684" t="str">
        <f>VLOOKUP(Summary!M683,Summary!$P$13:$Q$24,2)</f>
        <v>B1200-lime</v>
      </c>
      <c r="B684">
        <f>ROUND(NORMINV(Summary!M685,VLOOKUP(A684,Summary!$Q$13:$S$24,3,FALSE),VLOOKUP(A684,Summary!$Q$13:$S$24,3,FALSE)/6),-1)</f>
        <v>450</v>
      </c>
      <c r="C684" t="str">
        <f>IF(AND(H684=0,C683=Summary!$P$2),Summary!$Q$2,IF(AND(H684=0,C683=Summary!$Q$2),Summary!$R$2,C683))</f>
        <v>Reed</v>
      </c>
      <c r="D684" t="str">
        <f>IF(C684=Summary!$P$26,VLOOKUP(Summary!M691,Summary!$Q$26:$R$27,2),IF('Run Data'!C684=Summary!$P$28,VLOOKUP(Summary!M691,Summary!$Q$28:$R$29,2),VLOOKUP(Summary!M691,Summary!$Q$30:$R$32,2)))</f>
        <v>Sprig 2</v>
      </c>
      <c r="E684" t="str">
        <f>VLOOKUP(Summary!M694,Summary!$P$42:$Q$43,2)</f>
        <v>86</v>
      </c>
      <c r="F684">
        <f>IF(LEFT(A684,3)="B60",20,IF(LEFT(A684,3)="B12",30,25))+B684*0.5+INT(Summary!M697*20)</f>
        <v>262</v>
      </c>
      <c r="G684">
        <f>ROUND(IF(OR(ISERROR(FIND(Summary!$P$89,CONCATENATE(C684,D684,E684))),ISERROR(FIND(Summary!$Q$89,A684))),Summary!$R$45,IF(H684&gt;Summary!$V$3,Summary!$R$46,Summary!$R$45))*(B684+30),0)</f>
        <v>5</v>
      </c>
      <c r="H684">
        <f>IF(H683&gt;Summary!$V$4,0,H683+F683)</f>
        <v>66020</v>
      </c>
      <c r="I684" s="26">
        <f>DATE(YEAR(Summary!$V$2),MONTH(Summary!$V$2),DAY(Summary!$V$2)+INT(H684/480))</f>
        <v>43727</v>
      </c>
      <c r="J684" s="27">
        <f t="shared" si="11"/>
        <v>0.51388888888888895</v>
      </c>
    </row>
    <row r="685" spans="1:10">
      <c r="A685" t="str">
        <f>VLOOKUP(Summary!M684,Summary!$P$13:$Q$24,2)</f>
        <v>B1200-fire</v>
      </c>
      <c r="B685">
        <f>ROUND(NORMINV(Summary!M686,VLOOKUP(A685,Summary!$Q$13:$S$24,3,FALSE),VLOOKUP(A685,Summary!$Q$13:$S$24,3,FALSE)/6),-1)</f>
        <v>1060</v>
      </c>
      <c r="C685" t="str">
        <f>IF(AND(H685=0,C684=Summary!$P$2),Summary!$Q$2,IF(AND(H685=0,C684=Summary!$Q$2),Summary!$R$2,C684))</f>
        <v>Reed</v>
      </c>
      <c r="D685" t="str">
        <f>IF(C685=Summary!$P$26,VLOOKUP(Summary!M692,Summary!$Q$26:$R$27,2),IF('Run Data'!C685=Summary!$P$28,VLOOKUP(Summary!M692,Summary!$Q$28:$R$29,2),VLOOKUP(Summary!M692,Summary!$Q$30:$R$32,2)))</f>
        <v>Sprig 2</v>
      </c>
      <c r="E685" t="str">
        <f>VLOOKUP(Summary!M695,Summary!$P$42:$Q$43,2)</f>
        <v>86</v>
      </c>
      <c r="F685">
        <f>IF(LEFT(A685,3)="B60",20,IF(LEFT(A685,3)="B12",30,25))+B685*0.5+INT(Summary!M698*20)</f>
        <v>570</v>
      </c>
      <c r="G685">
        <f>ROUND(IF(OR(ISERROR(FIND(Summary!$P$89,CONCATENATE(C685,D685,E685))),ISERROR(FIND(Summary!$Q$89,A685))),Summary!$R$45,IF(H685&gt;Summary!$V$3,Summary!$R$46,Summary!$R$45))*(B685+30),0)</f>
        <v>11</v>
      </c>
      <c r="H685">
        <f>IF(H684&gt;Summary!$V$4,0,H684+F684)</f>
        <v>66282</v>
      </c>
      <c r="I685" s="26">
        <f>DATE(YEAR(Summary!$V$2),MONTH(Summary!$V$2),DAY(Summary!$V$2)+INT(H685/480))</f>
        <v>43728</v>
      </c>
      <c r="J685" s="27">
        <f t="shared" si="11"/>
        <v>0.36249999999999999</v>
      </c>
    </row>
    <row r="686" spans="1:10">
      <c r="A686" t="str">
        <f>VLOOKUP(Summary!M685,Summary!$P$13:$Q$24,2)</f>
        <v>B600-plum</v>
      </c>
      <c r="B686">
        <f>ROUND(NORMINV(Summary!M687,VLOOKUP(A686,Summary!$Q$13:$S$24,3,FALSE),VLOOKUP(A686,Summary!$Q$13:$S$24,3,FALSE)/6),-1)</f>
        <v>190</v>
      </c>
      <c r="C686" t="str">
        <f>IF(AND(H686=0,C685=Summary!$P$2),Summary!$Q$2,IF(AND(H686=0,C685=Summary!$Q$2),Summary!$R$2,C685))</f>
        <v>Reed</v>
      </c>
      <c r="D686" t="str">
        <f>IF(C686=Summary!$P$26,VLOOKUP(Summary!M693,Summary!$Q$26:$R$27,2),IF('Run Data'!C686=Summary!$P$28,VLOOKUP(Summary!M693,Summary!$Q$28:$R$29,2),VLOOKUP(Summary!M693,Summary!$Q$30:$R$32,2)))</f>
        <v>Sprig 2</v>
      </c>
      <c r="E686" t="str">
        <f>VLOOKUP(Summary!M696,Summary!$P$42:$Q$43,2)</f>
        <v>86</v>
      </c>
      <c r="F686">
        <f>IF(LEFT(A686,3)="B60",20,IF(LEFT(A686,3)="B12",30,25))+B686*0.5+INT(Summary!M699*20)</f>
        <v>131</v>
      </c>
      <c r="G686">
        <f>ROUND(IF(OR(ISERROR(FIND(Summary!$P$89,CONCATENATE(C686,D686,E686))),ISERROR(FIND(Summary!$Q$89,A686))),Summary!$R$45,IF(H686&gt;Summary!$V$3,Summary!$R$46,Summary!$R$45))*(B686+30),0)</f>
        <v>2</v>
      </c>
      <c r="H686">
        <f>IF(H685&gt;Summary!$V$4,0,H685+F685)</f>
        <v>66852</v>
      </c>
      <c r="I686" s="26">
        <f>DATE(YEAR(Summary!$V$2),MONTH(Summary!$V$2),DAY(Summary!$V$2)+INT(H686/480))</f>
        <v>43729</v>
      </c>
      <c r="J686" s="27">
        <f t="shared" si="11"/>
        <v>0.42499999999999999</v>
      </c>
    </row>
    <row r="687" spans="1:10">
      <c r="A687" t="str">
        <f>VLOOKUP(Summary!M686,Summary!$P$13:$Q$24,2)</f>
        <v>B1200-plum</v>
      </c>
      <c r="B687">
        <f>ROUND(NORMINV(Summary!M688,VLOOKUP(A687,Summary!$Q$13:$S$24,3,FALSE),VLOOKUP(A687,Summary!$Q$13:$S$24,3,FALSE)/6),-1)</f>
        <v>390</v>
      </c>
      <c r="C687" t="str">
        <f>IF(AND(H687=0,C686=Summary!$P$2),Summary!$Q$2,IF(AND(H687=0,C686=Summary!$Q$2),Summary!$R$2,C686))</f>
        <v>Reed</v>
      </c>
      <c r="D687" t="str">
        <f>IF(C687=Summary!$P$26,VLOOKUP(Summary!M694,Summary!$Q$26:$R$27,2),IF('Run Data'!C687=Summary!$P$28,VLOOKUP(Summary!M694,Summary!$Q$28:$R$29,2),VLOOKUP(Summary!M694,Summary!$Q$30:$R$32,2)))</f>
        <v>Sprig 2</v>
      </c>
      <c r="E687" t="str">
        <f>VLOOKUP(Summary!M697,Summary!$P$42:$Q$43,2)</f>
        <v>86</v>
      </c>
      <c r="F687">
        <f>IF(LEFT(A687,3)="B60",20,IF(LEFT(A687,3)="B12",30,25))+B687*0.5+INT(Summary!M700*20)</f>
        <v>228</v>
      </c>
      <c r="G687">
        <f>ROUND(IF(OR(ISERROR(FIND(Summary!$P$89,CONCATENATE(C687,D687,E687))),ISERROR(FIND(Summary!$Q$89,A687))),Summary!$R$45,IF(H687&gt;Summary!$V$3,Summary!$R$46,Summary!$R$45))*(B687+30),0)</f>
        <v>4</v>
      </c>
      <c r="H687">
        <f>IF(H686&gt;Summary!$V$4,0,H686+F686)</f>
        <v>66983</v>
      </c>
      <c r="I687" s="26">
        <f>DATE(YEAR(Summary!$V$2),MONTH(Summary!$V$2),DAY(Summary!$V$2)+INT(H687/480))</f>
        <v>43729</v>
      </c>
      <c r="J687" s="27">
        <f t="shared" si="11"/>
        <v>0.51597222222222217</v>
      </c>
    </row>
    <row r="688" spans="1:10">
      <c r="A688" t="str">
        <f>VLOOKUP(Summary!M687,Summary!$P$13:$Q$24,2)</f>
        <v>B1200-sky</v>
      </c>
      <c r="B688">
        <f>ROUND(NORMINV(Summary!M689,VLOOKUP(A688,Summary!$Q$13:$S$24,3,FALSE),VLOOKUP(A688,Summary!$Q$13:$S$24,3,FALSE)/6),-1)</f>
        <v>1330</v>
      </c>
      <c r="C688" t="str">
        <f>IF(AND(H688=0,C687=Summary!$P$2),Summary!$Q$2,IF(AND(H688=0,C687=Summary!$Q$2),Summary!$R$2,C687))</f>
        <v>Reed</v>
      </c>
      <c r="D688" t="str">
        <f>IF(C688=Summary!$P$26,VLOOKUP(Summary!M695,Summary!$Q$26:$R$27,2),IF('Run Data'!C688=Summary!$P$28,VLOOKUP(Summary!M695,Summary!$Q$28:$R$29,2),VLOOKUP(Summary!M695,Summary!$Q$30:$R$32,2)))</f>
        <v>Sprig 2</v>
      </c>
      <c r="E688" t="str">
        <f>VLOOKUP(Summary!M698,Summary!$P$42:$Q$43,2)</f>
        <v>86</v>
      </c>
      <c r="F688">
        <f>IF(LEFT(A688,3)="B60",20,IF(LEFT(A688,3)="B12",30,25))+B688*0.5+INT(Summary!M701*20)</f>
        <v>704</v>
      </c>
      <c r="G688">
        <f>ROUND(IF(OR(ISERROR(FIND(Summary!$P$89,CONCATENATE(C688,D688,E688))),ISERROR(FIND(Summary!$Q$89,A688))),Summary!$R$45,IF(H688&gt;Summary!$V$3,Summary!$R$46,Summary!$R$45))*(B688+30),0)</f>
        <v>14</v>
      </c>
      <c r="H688">
        <f>IF(H687&gt;Summary!$V$4,0,H687+F687)</f>
        <v>67211</v>
      </c>
      <c r="I688" s="26">
        <f>DATE(YEAR(Summary!$V$2),MONTH(Summary!$V$2),DAY(Summary!$V$2)+INT(H688/480))</f>
        <v>43730</v>
      </c>
      <c r="J688" s="27">
        <f t="shared" si="11"/>
        <v>0.34097222222222223</v>
      </c>
    </row>
    <row r="689" spans="1:10">
      <c r="A689" t="str">
        <f>VLOOKUP(Summary!M688,Summary!$P$13:$Q$24,2)</f>
        <v>B600-lime</v>
      </c>
      <c r="B689">
        <f>ROUND(NORMINV(Summary!M690,VLOOKUP(A689,Summary!$Q$13:$S$24,3,FALSE),VLOOKUP(A689,Summary!$Q$13:$S$24,3,FALSE)/6),-1)</f>
        <v>220</v>
      </c>
      <c r="C689" t="str">
        <f>IF(AND(H689=0,C688=Summary!$P$2),Summary!$Q$2,IF(AND(H689=0,C688=Summary!$Q$2),Summary!$R$2,C688))</f>
        <v>Reed</v>
      </c>
      <c r="D689" t="str">
        <f>IF(C689=Summary!$P$26,VLOOKUP(Summary!M696,Summary!$Q$26:$R$27,2),IF('Run Data'!C689=Summary!$P$28,VLOOKUP(Summary!M696,Summary!$Q$28:$R$29,2),VLOOKUP(Summary!M696,Summary!$Q$30:$R$32,2)))</f>
        <v>Sprig 2</v>
      </c>
      <c r="E689" t="str">
        <f>VLOOKUP(Summary!M699,Summary!$P$42:$Q$43,2)</f>
        <v>86</v>
      </c>
      <c r="F689">
        <f>IF(LEFT(A689,3)="B60",20,IF(LEFT(A689,3)="B12",30,25))+B689*0.5+INT(Summary!M702*20)</f>
        <v>135</v>
      </c>
      <c r="G689">
        <f>ROUND(IF(OR(ISERROR(FIND(Summary!$P$89,CONCATENATE(C689,D689,E689))),ISERROR(FIND(Summary!$Q$89,A689))),Summary!$R$45,IF(H689&gt;Summary!$V$3,Summary!$R$46,Summary!$R$45))*(B689+30),0)</f>
        <v>3</v>
      </c>
      <c r="H689">
        <f>IF(H688&gt;Summary!$V$4,0,H688+F688)</f>
        <v>67915</v>
      </c>
      <c r="I689" s="26">
        <f>DATE(YEAR(Summary!$V$2),MONTH(Summary!$V$2),DAY(Summary!$V$2)+INT(H689/480))</f>
        <v>43731</v>
      </c>
      <c r="J689" s="27">
        <f t="shared" si="11"/>
        <v>0.49652777777777773</v>
      </c>
    </row>
    <row r="690" spans="1:10">
      <c r="A690" t="str">
        <f>VLOOKUP(Summary!M689,Summary!$P$13:$Q$24,2)</f>
        <v>B1700-plum</v>
      </c>
      <c r="B690">
        <f>ROUND(NORMINV(Summary!M691,VLOOKUP(A690,Summary!$Q$13:$S$24,3,FALSE),VLOOKUP(A690,Summary!$Q$13:$S$24,3,FALSE)/6),-1)</f>
        <v>310</v>
      </c>
      <c r="C690" t="str">
        <f>IF(AND(H690=0,C689=Summary!$P$2),Summary!$Q$2,IF(AND(H690=0,C689=Summary!$Q$2),Summary!$R$2,C689))</f>
        <v>Reed</v>
      </c>
      <c r="D690" t="str">
        <f>IF(C690=Summary!$P$26,VLOOKUP(Summary!M697,Summary!$Q$26:$R$27,2),IF('Run Data'!C690=Summary!$P$28,VLOOKUP(Summary!M697,Summary!$Q$28:$R$29,2),VLOOKUP(Summary!M697,Summary!$Q$30:$R$32,2)))</f>
        <v>Sprig 2</v>
      </c>
      <c r="E690" t="str">
        <f>VLOOKUP(Summary!M700,Summary!$P$42:$Q$43,2)</f>
        <v>86</v>
      </c>
      <c r="F690">
        <f>IF(LEFT(A690,3)="B60",20,IF(LEFT(A690,3)="B12",30,25))+B690*0.5+INT(Summary!M703*20)</f>
        <v>190</v>
      </c>
      <c r="G690">
        <f>ROUND(IF(OR(ISERROR(FIND(Summary!$P$89,CONCATENATE(C690,D690,E690))),ISERROR(FIND(Summary!$Q$89,A690))),Summary!$R$45,IF(H690&gt;Summary!$V$3,Summary!$R$46,Summary!$R$45))*(B690+30),0)</f>
        <v>41</v>
      </c>
      <c r="H690">
        <f>IF(H689&gt;Summary!$V$4,0,H689+F689)</f>
        <v>68050</v>
      </c>
      <c r="I690" s="26">
        <f>DATE(YEAR(Summary!$V$2),MONTH(Summary!$V$2),DAY(Summary!$V$2)+INT(H690/480))</f>
        <v>43731</v>
      </c>
      <c r="J690" s="27">
        <f t="shared" si="11"/>
        <v>0.59027777777777779</v>
      </c>
    </row>
    <row r="691" spans="1:10">
      <c r="A691" t="str">
        <f>VLOOKUP(Summary!M690,Summary!$P$13:$Q$24,2)</f>
        <v>B600-sky</v>
      </c>
      <c r="B691">
        <f>ROUND(NORMINV(Summary!M692,VLOOKUP(A691,Summary!$Q$13:$S$24,3,FALSE),VLOOKUP(A691,Summary!$Q$13:$S$24,3,FALSE)/6),-1)</f>
        <v>380</v>
      </c>
      <c r="C691" t="str">
        <f>IF(AND(H691=0,C690=Summary!$P$2),Summary!$Q$2,IF(AND(H691=0,C690=Summary!$Q$2),Summary!$R$2,C690))</f>
        <v>Reed</v>
      </c>
      <c r="D691" t="str">
        <f>IF(C691=Summary!$P$26,VLOOKUP(Summary!M698,Summary!$Q$26:$R$27,2),IF('Run Data'!C691=Summary!$P$28,VLOOKUP(Summary!M698,Summary!$Q$28:$R$29,2),VLOOKUP(Summary!M698,Summary!$Q$30:$R$32,2)))</f>
        <v>Sprig 2</v>
      </c>
      <c r="E691" t="str">
        <f>VLOOKUP(Summary!M701,Summary!$P$42:$Q$43,2)</f>
        <v>86</v>
      </c>
      <c r="F691">
        <f>IF(LEFT(A691,3)="B60",20,IF(LEFT(A691,3)="B12",30,25))+B691*0.5+INT(Summary!M704*20)</f>
        <v>218</v>
      </c>
      <c r="G691">
        <f>ROUND(IF(OR(ISERROR(FIND(Summary!$P$89,CONCATENATE(C691,D691,E691))),ISERROR(FIND(Summary!$Q$89,A691))),Summary!$R$45,IF(H691&gt;Summary!$V$3,Summary!$R$46,Summary!$R$45))*(B691+30),0)</f>
        <v>4</v>
      </c>
      <c r="H691">
        <f>IF(H690&gt;Summary!$V$4,0,H690+F690)</f>
        <v>68240</v>
      </c>
      <c r="I691" s="26">
        <f>DATE(YEAR(Summary!$V$2),MONTH(Summary!$V$2),DAY(Summary!$V$2)+INT(H691/480))</f>
        <v>43732</v>
      </c>
      <c r="J691" s="27">
        <f t="shared" si="11"/>
        <v>0.3888888888888889</v>
      </c>
    </row>
    <row r="692" spans="1:10">
      <c r="A692" t="str">
        <f>VLOOKUP(Summary!M691,Summary!$P$13:$Q$24,2)</f>
        <v>B1200-lime</v>
      </c>
      <c r="B692">
        <f>ROUND(NORMINV(Summary!M693,VLOOKUP(A692,Summary!$Q$13:$S$24,3,FALSE),VLOOKUP(A692,Summary!$Q$13:$S$24,3,FALSE)/6),-1)</f>
        <v>600</v>
      </c>
      <c r="C692" t="str">
        <f>IF(AND(H692=0,C691=Summary!$P$2),Summary!$Q$2,IF(AND(H692=0,C691=Summary!$Q$2),Summary!$R$2,C691))</f>
        <v>Reed</v>
      </c>
      <c r="D692" t="str">
        <f>IF(C692=Summary!$P$26,VLOOKUP(Summary!M699,Summary!$Q$26:$R$27,2),IF('Run Data'!C692=Summary!$P$28,VLOOKUP(Summary!M699,Summary!$Q$28:$R$29,2),VLOOKUP(Summary!M699,Summary!$Q$30:$R$32,2)))</f>
        <v>Sprig 4</v>
      </c>
      <c r="E692" t="str">
        <f>VLOOKUP(Summary!M702,Summary!$P$42:$Q$43,2)</f>
        <v>86</v>
      </c>
      <c r="F692">
        <f>IF(LEFT(A692,3)="B60",20,IF(LEFT(A692,3)="B12",30,25))+B692*0.5+INT(Summary!M705*20)</f>
        <v>338</v>
      </c>
      <c r="G692">
        <f>ROUND(IF(OR(ISERROR(FIND(Summary!$P$89,CONCATENATE(C692,D692,E692))),ISERROR(FIND(Summary!$Q$89,A692))),Summary!$R$45,IF(H692&gt;Summary!$V$3,Summary!$R$46,Summary!$R$45))*(B692+30),0)</f>
        <v>6</v>
      </c>
      <c r="H692">
        <f>IF(H691&gt;Summary!$V$4,0,H691+F691)</f>
        <v>68458</v>
      </c>
      <c r="I692" s="26">
        <f>DATE(YEAR(Summary!$V$2),MONTH(Summary!$V$2),DAY(Summary!$V$2)+INT(H692/480))</f>
        <v>43732</v>
      </c>
      <c r="J692" s="27">
        <f t="shared" si="11"/>
        <v>0.54027777777777775</v>
      </c>
    </row>
    <row r="693" spans="1:10">
      <c r="A693" t="str">
        <f>VLOOKUP(Summary!M692,Summary!$P$13:$Q$24,2)</f>
        <v>B600-sky</v>
      </c>
      <c r="B693">
        <f>ROUND(NORMINV(Summary!M694,VLOOKUP(A693,Summary!$Q$13:$S$24,3,FALSE),VLOOKUP(A693,Summary!$Q$13:$S$24,3,FALSE)/6),-1)</f>
        <v>510</v>
      </c>
      <c r="C693" t="str">
        <f>IF(AND(H693=0,C692=Summary!$P$2),Summary!$Q$2,IF(AND(H693=0,C692=Summary!$Q$2),Summary!$R$2,C692))</f>
        <v>Reed</v>
      </c>
      <c r="D693" t="str">
        <f>IF(C693=Summary!$P$26,VLOOKUP(Summary!M700,Summary!$Q$26:$R$27,2),IF('Run Data'!C693=Summary!$P$28,VLOOKUP(Summary!M700,Summary!$Q$28:$R$29,2),VLOOKUP(Summary!M700,Summary!$Q$30:$R$32,2)))</f>
        <v>Sprig 2</v>
      </c>
      <c r="E693" t="str">
        <f>VLOOKUP(Summary!M703,Summary!$P$42:$Q$43,2)</f>
        <v>86</v>
      </c>
      <c r="F693">
        <f>IF(LEFT(A693,3)="B60",20,IF(LEFT(A693,3)="B12",30,25))+B693*0.5+INT(Summary!M706*20)</f>
        <v>289</v>
      </c>
      <c r="G693">
        <f>ROUND(IF(OR(ISERROR(FIND(Summary!$P$89,CONCATENATE(C693,D693,E693))),ISERROR(FIND(Summary!$Q$89,A693))),Summary!$R$45,IF(H693&gt;Summary!$V$3,Summary!$R$46,Summary!$R$45))*(B693+30),0)</f>
        <v>5</v>
      </c>
      <c r="H693">
        <f>IF(H692&gt;Summary!$V$4,0,H692+F692)</f>
        <v>68796</v>
      </c>
      <c r="I693" s="26">
        <f>DATE(YEAR(Summary!$V$2),MONTH(Summary!$V$2),DAY(Summary!$V$2)+INT(H693/480))</f>
        <v>43733</v>
      </c>
      <c r="J693" s="27">
        <f t="shared" si="11"/>
        <v>0.44166666666666665</v>
      </c>
    </row>
    <row r="694" spans="1:10">
      <c r="A694" t="str">
        <f>VLOOKUP(Summary!M693,Summary!$P$13:$Q$24,2)</f>
        <v>B600-sky</v>
      </c>
      <c r="B694">
        <f>ROUND(NORMINV(Summary!M695,VLOOKUP(A694,Summary!$Q$13:$S$24,3,FALSE),VLOOKUP(A694,Summary!$Q$13:$S$24,3,FALSE)/6),-1)</f>
        <v>290</v>
      </c>
      <c r="C694" t="str">
        <f>IF(AND(H694=0,C693=Summary!$P$2),Summary!$Q$2,IF(AND(H694=0,C693=Summary!$Q$2),Summary!$R$2,C693))</f>
        <v>Reed</v>
      </c>
      <c r="D694" t="str">
        <f>IF(C694=Summary!$P$26,VLOOKUP(Summary!M701,Summary!$Q$26:$R$27,2),IF('Run Data'!C694=Summary!$P$28,VLOOKUP(Summary!M701,Summary!$Q$28:$R$29,2),VLOOKUP(Summary!M701,Summary!$Q$30:$R$32,2)))</f>
        <v>Sprig 2</v>
      </c>
      <c r="E694" t="str">
        <f>VLOOKUP(Summary!M704,Summary!$P$42:$Q$43,2)</f>
        <v>86</v>
      </c>
      <c r="F694">
        <f>IF(LEFT(A694,3)="B60",20,IF(LEFT(A694,3)="B12",30,25))+B694*0.5+INT(Summary!M707*20)</f>
        <v>173</v>
      </c>
      <c r="G694">
        <f>ROUND(IF(OR(ISERROR(FIND(Summary!$P$89,CONCATENATE(C694,D694,E694))),ISERROR(FIND(Summary!$Q$89,A694))),Summary!$R$45,IF(H694&gt;Summary!$V$3,Summary!$R$46,Summary!$R$45))*(B694+30),0)</f>
        <v>3</v>
      </c>
      <c r="H694">
        <f>IF(H693&gt;Summary!$V$4,0,H693+F693)</f>
        <v>69085</v>
      </c>
      <c r="I694" s="26">
        <f>DATE(YEAR(Summary!$V$2),MONTH(Summary!$V$2),DAY(Summary!$V$2)+INT(H694/480))</f>
        <v>43733</v>
      </c>
      <c r="J694" s="27">
        <f t="shared" si="11"/>
        <v>0.64236111111111105</v>
      </c>
    </row>
    <row r="695" spans="1:10">
      <c r="A695" t="str">
        <f>VLOOKUP(Summary!M694,Summary!$P$13:$Q$24,2)</f>
        <v>B1200-fire</v>
      </c>
      <c r="B695">
        <f>ROUND(NORMINV(Summary!M696,VLOOKUP(A695,Summary!$Q$13:$S$24,3,FALSE),VLOOKUP(A695,Summary!$Q$13:$S$24,3,FALSE)/6),-1)</f>
        <v>1200</v>
      </c>
      <c r="C695" t="str">
        <f>IF(AND(H695=0,C694=Summary!$P$2),Summary!$Q$2,IF(AND(H695=0,C694=Summary!$Q$2),Summary!$R$2,C694))</f>
        <v>Reed</v>
      </c>
      <c r="D695" t="str">
        <f>IF(C695=Summary!$P$26,VLOOKUP(Summary!M702,Summary!$Q$26:$R$27,2),IF('Run Data'!C695=Summary!$P$28,VLOOKUP(Summary!M702,Summary!$Q$28:$R$29,2),VLOOKUP(Summary!M702,Summary!$Q$30:$R$32,2)))</f>
        <v>Sprig 2</v>
      </c>
      <c r="E695" t="str">
        <f>VLOOKUP(Summary!M705,Summary!$P$42:$Q$43,2)</f>
        <v>86</v>
      </c>
      <c r="F695">
        <f>IF(LEFT(A695,3)="B60",20,IF(LEFT(A695,3)="B12",30,25))+B695*0.5+INT(Summary!M708*20)</f>
        <v>641</v>
      </c>
      <c r="G695">
        <f>ROUND(IF(OR(ISERROR(FIND(Summary!$P$89,CONCATENATE(C695,D695,E695))),ISERROR(FIND(Summary!$Q$89,A695))),Summary!$R$45,IF(H695&gt;Summary!$V$3,Summary!$R$46,Summary!$R$45))*(B695+30),0)</f>
        <v>12</v>
      </c>
      <c r="H695">
        <f>IF(H694&gt;Summary!$V$4,0,H694+F694)</f>
        <v>69258</v>
      </c>
      <c r="I695" s="26">
        <f>DATE(YEAR(Summary!$V$2),MONTH(Summary!$V$2),DAY(Summary!$V$2)+INT(H695/480))</f>
        <v>43734</v>
      </c>
      <c r="J695" s="27">
        <f t="shared" si="11"/>
        <v>0.4291666666666667</v>
      </c>
    </row>
    <row r="696" spans="1:10">
      <c r="A696" t="str">
        <f>VLOOKUP(Summary!M695,Summary!$P$13:$Q$24,2)</f>
        <v>B600-plum</v>
      </c>
      <c r="B696">
        <f>ROUND(NORMINV(Summary!M697,VLOOKUP(A696,Summary!$Q$13:$S$24,3,FALSE),VLOOKUP(A696,Summary!$Q$13:$S$24,3,FALSE)/6),-1)</f>
        <v>190</v>
      </c>
      <c r="C696" t="str">
        <f>IF(AND(H696=0,C695=Summary!$P$2),Summary!$Q$2,IF(AND(H696=0,C695=Summary!$Q$2),Summary!$R$2,C695))</f>
        <v>Reed</v>
      </c>
      <c r="D696" t="str">
        <f>IF(C696=Summary!$P$26,VLOOKUP(Summary!M703,Summary!$Q$26:$R$27,2),IF('Run Data'!C696=Summary!$P$28,VLOOKUP(Summary!M703,Summary!$Q$28:$R$29,2),VLOOKUP(Summary!M703,Summary!$Q$30:$R$32,2)))</f>
        <v>Sprig 2</v>
      </c>
      <c r="E696" t="str">
        <f>VLOOKUP(Summary!M706,Summary!$P$42:$Q$43,2)</f>
        <v>86</v>
      </c>
      <c r="F696">
        <f>IF(LEFT(A696,3)="B60",20,IF(LEFT(A696,3)="B12",30,25))+B696*0.5+INT(Summary!M709*20)</f>
        <v>125</v>
      </c>
      <c r="G696">
        <f>ROUND(IF(OR(ISERROR(FIND(Summary!$P$89,CONCATENATE(C696,D696,E696))),ISERROR(FIND(Summary!$Q$89,A696))),Summary!$R$45,IF(H696&gt;Summary!$V$3,Summary!$R$46,Summary!$R$45))*(B696+30),0)</f>
        <v>2</v>
      </c>
      <c r="H696">
        <f>IF(H695&gt;Summary!$V$4,0,H695+F695)</f>
        <v>69899</v>
      </c>
      <c r="I696" s="26">
        <f>DATE(YEAR(Summary!$V$2),MONTH(Summary!$V$2),DAY(Summary!$V$2)+INT(H696/480))</f>
        <v>43735</v>
      </c>
      <c r="J696" s="27">
        <f t="shared" si="11"/>
        <v>0.54097222222222219</v>
      </c>
    </row>
    <row r="697" spans="1:10">
      <c r="A697" t="str">
        <f>VLOOKUP(Summary!M696,Summary!$P$13:$Q$24,2)</f>
        <v>B1200-fire</v>
      </c>
      <c r="B697">
        <f>ROUND(NORMINV(Summary!M698,VLOOKUP(A697,Summary!$Q$13:$S$24,3,FALSE),VLOOKUP(A697,Summary!$Q$13:$S$24,3,FALSE)/6),-1)</f>
        <v>1220</v>
      </c>
      <c r="C697" t="str">
        <f>IF(AND(H697=0,C696=Summary!$P$2),Summary!$Q$2,IF(AND(H697=0,C696=Summary!$Q$2),Summary!$R$2,C696))</f>
        <v>Reed</v>
      </c>
      <c r="D697" t="str">
        <f>IF(C697=Summary!$P$26,VLOOKUP(Summary!M704,Summary!$Q$26:$R$27,2),IF('Run Data'!C697=Summary!$P$28,VLOOKUP(Summary!M704,Summary!$Q$28:$R$29,2),VLOOKUP(Summary!M704,Summary!$Q$30:$R$32,2)))</f>
        <v>Sprig 2</v>
      </c>
      <c r="E697" t="str">
        <f>VLOOKUP(Summary!M707,Summary!$P$42:$Q$43,2)</f>
        <v>86</v>
      </c>
      <c r="F697">
        <f>IF(LEFT(A697,3)="B60",20,IF(LEFT(A697,3)="B12",30,25))+B697*0.5+INT(Summary!M710*20)</f>
        <v>659</v>
      </c>
      <c r="G697">
        <f>ROUND(IF(OR(ISERROR(FIND(Summary!$P$89,CONCATENATE(C697,D697,E697))),ISERROR(FIND(Summary!$Q$89,A697))),Summary!$R$45,IF(H697&gt;Summary!$V$3,Summary!$R$46,Summary!$R$45))*(B697+30),0)</f>
        <v>13</v>
      </c>
      <c r="H697">
        <f>IF(H696&gt;Summary!$V$4,0,H696+F696)</f>
        <v>70024</v>
      </c>
      <c r="I697" s="26">
        <f>DATE(YEAR(Summary!$V$2),MONTH(Summary!$V$2),DAY(Summary!$V$2)+INT(H697/480))</f>
        <v>43735</v>
      </c>
      <c r="J697" s="27">
        <f t="shared" si="11"/>
        <v>0.62777777777777777</v>
      </c>
    </row>
    <row r="698" spans="1:10">
      <c r="A698" t="str">
        <f>VLOOKUP(Summary!M697,Summary!$P$13:$Q$24,2)</f>
        <v>B1200-sky</v>
      </c>
      <c r="B698">
        <f>ROUND(NORMINV(Summary!M699,VLOOKUP(A698,Summary!$Q$13:$S$24,3,FALSE),VLOOKUP(A698,Summary!$Q$13:$S$24,3,FALSE)/6),-1)</f>
        <v>1390</v>
      </c>
      <c r="C698" t="str">
        <f>IF(AND(H698=0,C697=Summary!$P$2),Summary!$Q$2,IF(AND(H698=0,C697=Summary!$Q$2),Summary!$R$2,C697))</f>
        <v>Reed</v>
      </c>
      <c r="D698" t="str">
        <f>IF(C698=Summary!$P$26,VLOOKUP(Summary!M705,Summary!$Q$26:$R$27,2),IF('Run Data'!C698=Summary!$P$28,VLOOKUP(Summary!M705,Summary!$Q$28:$R$29,2),VLOOKUP(Summary!M705,Summary!$Q$30:$R$32,2)))</f>
        <v>Sprig 2</v>
      </c>
      <c r="E698" t="str">
        <f>VLOOKUP(Summary!M708,Summary!$P$42:$Q$43,2)</f>
        <v>86</v>
      </c>
      <c r="F698">
        <f>IF(LEFT(A698,3)="B60",20,IF(LEFT(A698,3)="B12",30,25))+B698*0.5+INT(Summary!M711*20)</f>
        <v>742</v>
      </c>
      <c r="G698">
        <f>ROUND(IF(OR(ISERROR(FIND(Summary!$P$89,CONCATENATE(C698,D698,E698))),ISERROR(FIND(Summary!$Q$89,A698))),Summary!$R$45,IF(H698&gt;Summary!$V$3,Summary!$R$46,Summary!$R$45))*(B698+30),0)</f>
        <v>14</v>
      </c>
      <c r="H698">
        <f>IF(H697&gt;Summary!$V$4,0,H697+F697)</f>
        <v>70683</v>
      </c>
      <c r="I698" s="26">
        <f>DATE(YEAR(Summary!$V$2),MONTH(Summary!$V$2),DAY(Summary!$V$2)+INT(H698/480))</f>
        <v>43737</v>
      </c>
      <c r="J698" s="27">
        <f t="shared" si="11"/>
        <v>0.41875000000000001</v>
      </c>
    </row>
    <row r="699" spans="1:10">
      <c r="A699" t="str">
        <f>VLOOKUP(Summary!M698,Summary!$P$13:$Q$24,2)</f>
        <v>B1200-fire</v>
      </c>
      <c r="B699">
        <f>ROUND(NORMINV(Summary!M700,VLOOKUP(A699,Summary!$Q$13:$S$24,3,FALSE),VLOOKUP(A699,Summary!$Q$13:$S$24,3,FALSE)/6),-1)</f>
        <v>1020</v>
      </c>
      <c r="C699" t="str">
        <f>IF(AND(H699=0,C698=Summary!$P$2),Summary!$Q$2,IF(AND(H699=0,C698=Summary!$Q$2),Summary!$R$2,C698))</f>
        <v>Reed</v>
      </c>
      <c r="D699" t="str">
        <f>IF(C699=Summary!$P$26,VLOOKUP(Summary!M706,Summary!$Q$26:$R$27,2),IF('Run Data'!C699=Summary!$P$28,VLOOKUP(Summary!M706,Summary!$Q$28:$R$29,2),VLOOKUP(Summary!M706,Summary!$Q$30:$R$32,2)))</f>
        <v>Sprig 2</v>
      </c>
      <c r="E699" t="str">
        <f>VLOOKUP(Summary!M709,Summary!$P$42:$Q$43,2)</f>
        <v>86</v>
      </c>
      <c r="F699">
        <f>IF(LEFT(A699,3)="B60",20,IF(LEFT(A699,3)="B12",30,25))+B699*0.5+INT(Summary!M712*20)</f>
        <v>550</v>
      </c>
      <c r="G699">
        <f>ROUND(IF(OR(ISERROR(FIND(Summary!$P$89,CONCATENATE(C699,D699,E699))),ISERROR(FIND(Summary!$Q$89,A699))),Summary!$R$45,IF(H699&gt;Summary!$V$3,Summary!$R$46,Summary!$R$45))*(B699+30),0)</f>
        <v>11</v>
      </c>
      <c r="H699">
        <f>IF(H698&gt;Summary!$V$4,0,H698+F698)</f>
        <v>71425</v>
      </c>
      <c r="I699" s="26">
        <f>DATE(YEAR(Summary!$V$2),MONTH(Summary!$V$2),DAY(Summary!$V$2)+INT(H699/480))</f>
        <v>43738</v>
      </c>
      <c r="J699" s="27">
        <f t="shared" si="11"/>
        <v>0.60069444444444442</v>
      </c>
    </row>
    <row r="700" spans="1:10">
      <c r="A700" t="str">
        <f>VLOOKUP(Summary!M699,Summary!$P$13:$Q$24,2)</f>
        <v>B1700-sky</v>
      </c>
      <c r="B700">
        <f>ROUND(NORMINV(Summary!M701,VLOOKUP(A700,Summary!$Q$13:$S$24,3,FALSE),VLOOKUP(A700,Summary!$Q$13:$S$24,3,FALSE)/6),-1)</f>
        <v>550</v>
      </c>
      <c r="C700" t="str">
        <f>IF(AND(H700=0,C699=Summary!$P$2),Summary!$Q$2,IF(AND(H700=0,C699=Summary!$Q$2),Summary!$R$2,C699))</f>
        <v>Reed</v>
      </c>
      <c r="D700" t="str">
        <f>IF(C700=Summary!$P$26,VLOOKUP(Summary!M707,Summary!$Q$26:$R$27,2),IF('Run Data'!C700=Summary!$P$28,VLOOKUP(Summary!M707,Summary!$Q$28:$R$29,2),VLOOKUP(Summary!M707,Summary!$Q$30:$R$32,2)))</f>
        <v>Sprig 2</v>
      </c>
      <c r="E700" t="str">
        <f>VLOOKUP(Summary!M710,Summary!$P$42:$Q$43,2)</f>
        <v>87b</v>
      </c>
      <c r="F700">
        <f>IF(LEFT(A700,3)="B60",20,IF(LEFT(A700,3)="B12",30,25))+B700*0.5+INT(Summary!M713*20)</f>
        <v>317</v>
      </c>
      <c r="G700">
        <f>ROUND(IF(OR(ISERROR(FIND(Summary!$P$89,CONCATENATE(C700,D700,E700))),ISERROR(FIND(Summary!$Q$89,A700))),Summary!$R$45,IF(H700&gt;Summary!$V$3,Summary!$R$46,Summary!$R$45))*(B700+30),0)</f>
        <v>6</v>
      </c>
      <c r="H700">
        <f>IF(H699&gt;Summary!$V$4,0,H699+F699)</f>
        <v>71975</v>
      </c>
      <c r="I700" s="26">
        <f>DATE(YEAR(Summary!$V$2),MONTH(Summary!$V$2),DAY(Summary!$V$2)+INT(H700/480))</f>
        <v>43739</v>
      </c>
      <c r="J700" s="27">
        <f t="shared" si="11"/>
        <v>0.64930555555555558</v>
      </c>
    </row>
    <row r="701" spans="1:10">
      <c r="A701" t="str">
        <f>VLOOKUP(Summary!M700,Summary!$P$13:$Q$24,2)</f>
        <v>B600-lime</v>
      </c>
      <c r="B701">
        <f>ROUND(NORMINV(Summary!M702,VLOOKUP(A701,Summary!$Q$13:$S$24,3,FALSE),VLOOKUP(A701,Summary!$Q$13:$S$24,3,FALSE)/6),-1)</f>
        <v>270</v>
      </c>
      <c r="C701" t="str">
        <f>IF(AND(H701=0,C700=Summary!$P$2),Summary!$Q$2,IF(AND(H701=0,C700=Summary!$Q$2),Summary!$R$2,C700))</f>
        <v>Reed</v>
      </c>
      <c r="D701" t="str">
        <f>IF(C701=Summary!$P$26,VLOOKUP(Summary!M708,Summary!$Q$26:$R$27,2),IF('Run Data'!C701=Summary!$P$28,VLOOKUP(Summary!M708,Summary!$Q$28:$R$29,2),VLOOKUP(Summary!M708,Summary!$Q$30:$R$32,2)))</f>
        <v>Sprig 2</v>
      </c>
      <c r="E701" t="str">
        <f>VLOOKUP(Summary!M711,Summary!$P$42:$Q$43,2)</f>
        <v>87b</v>
      </c>
      <c r="F701">
        <f>IF(LEFT(A701,3)="B60",20,IF(LEFT(A701,3)="B12",30,25))+B701*0.5+INT(Summary!M714*20)</f>
        <v>167</v>
      </c>
      <c r="G701">
        <f>ROUND(IF(OR(ISERROR(FIND(Summary!$P$89,CONCATENATE(C701,D701,E701))),ISERROR(FIND(Summary!$Q$89,A701))),Summary!$R$45,IF(H701&gt;Summary!$V$3,Summary!$R$46,Summary!$R$45))*(B701+30),0)</f>
        <v>3</v>
      </c>
      <c r="H701">
        <f>IF(H700&gt;Summary!$V$4,0,H700+F700)</f>
        <v>72292</v>
      </c>
      <c r="I701" s="26">
        <f>DATE(YEAR(Summary!$V$2),MONTH(Summary!$V$2),DAY(Summary!$V$2)+INT(H701/480))</f>
        <v>43740</v>
      </c>
      <c r="J701" s="27">
        <f t="shared" si="11"/>
        <v>0.53611111111111109</v>
      </c>
    </row>
    <row r="702" spans="1:10">
      <c r="A702" t="str">
        <f>VLOOKUP(Summary!M701,Summary!$P$13:$Q$24,2)</f>
        <v>B1200-fire</v>
      </c>
      <c r="B702">
        <f>ROUND(NORMINV(Summary!M703,VLOOKUP(A702,Summary!$Q$13:$S$24,3,FALSE),VLOOKUP(A702,Summary!$Q$13:$S$24,3,FALSE)/6),-1)</f>
        <v>1210</v>
      </c>
      <c r="C702" t="str">
        <f>IF(AND(H702=0,C701=Summary!$P$2),Summary!$Q$2,IF(AND(H702=0,C701=Summary!$Q$2),Summary!$R$2,C701))</f>
        <v>Reed</v>
      </c>
      <c r="D702" t="str">
        <f>IF(C702=Summary!$P$26,VLOOKUP(Summary!M709,Summary!$Q$26:$R$27,2),IF('Run Data'!C702=Summary!$P$28,VLOOKUP(Summary!M709,Summary!$Q$28:$R$29,2),VLOOKUP(Summary!M709,Summary!$Q$30:$R$32,2)))</f>
        <v>Sprig 2</v>
      </c>
      <c r="E702" t="str">
        <f>VLOOKUP(Summary!M712,Summary!$P$42:$Q$43,2)</f>
        <v>86</v>
      </c>
      <c r="F702">
        <f>IF(LEFT(A702,3)="B60",20,IF(LEFT(A702,3)="B12",30,25))+B702*0.5+INT(Summary!M715*20)</f>
        <v>651</v>
      </c>
      <c r="G702">
        <f>ROUND(IF(OR(ISERROR(FIND(Summary!$P$89,CONCATENATE(C702,D702,E702))),ISERROR(FIND(Summary!$Q$89,A702))),Summary!$R$45,IF(H702&gt;Summary!$V$3,Summary!$R$46,Summary!$R$45))*(B702+30),0)</f>
        <v>12</v>
      </c>
      <c r="H702">
        <f>IF(H701&gt;Summary!$V$4,0,H701+F701)</f>
        <v>72459</v>
      </c>
      <c r="I702" s="26">
        <f>DATE(YEAR(Summary!$V$2),MONTH(Summary!$V$2),DAY(Summary!$V$2)+INT(H702/480))</f>
        <v>43740</v>
      </c>
      <c r="J702" s="27">
        <f t="shared" si="11"/>
        <v>0.65208333333333335</v>
      </c>
    </row>
    <row r="703" spans="1:10">
      <c r="A703" t="str">
        <f>VLOOKUP(Summary!M702,Summary!$P$13:$Q$24,2)</f>
        <v>B1200-plum</v>
      </c>
      <c r="B703">
        <f>ROUND(NORMINV(Summary!M704,VLOOKUP(A703,Summary!$Q$13:$S$24,3,FALSE),VLOOKUP(A703,Summary!$Q$13:$S$24,3,FALSE)/6),-1)</f>
        <v>430</v>
      </c>
      <c r="C703" t="str">
        <f>IF(AND(H703=0,C702=Summary!$P$2),Summary!$Q$2,IF(AND(H703=0,C702=Summary!$Q$2),Summary!$R$2,C702))</f>
        <v>Reed</v>
      </c>
      <c r="D703" t="str">
        <f>IF(C703=Summary!$P$26,VLOOKUP(Summary!M710,Summary!$Q$26:$R$27,2),IF('Run Data'!C703=Summary!$P$28,VLOOKUP(Summary!M710,Summary!$Q$28:$R$29,2),VLOOKUP(Summary!M710,Summary!$Q$30:$R$32,2)))</f>
        <v>Sprig 4</v>
      </c>
      <c r="E703" t="str">
        <f>VLOOKUP(Summary!M713,Summary!$P$42:$Q$43,2)</f>
        <v>87b</v>
      </c>
      <c r="F703">
        <f>IF(LEFT(A703,3)="B60",20,IF(LEFT(A703,3)="B12",30,25))+B703*0.5+INT(Summary!M716*20)</f>
        <v>263</v>
      </c>
      <c r="G703">
        <f>ROUND(IF(OR(ISERROR(FIND(Summary!$P$89,CONCATENATE(C703,D703,E703))),ISERROR(FIND(Summary!$Q$89,A703))),Summary!$R$45,IF(H703&gt;Summary!$V$3,Summary!$R$46,Summary!$R$45))*(B703+30),0)</f>
        <v>5</v>
      </c>
      <c r="H703">
        <f>IF(H702&gt;Summary!$V$4,0,H702+F702)</f>
        <v>73110</v>
      </c>
      <c r="I703" s="26">
        <f>DATE(YEAR(Summary!$V$2),MONTH(Summary!$V$2),DAY(Summary!$V$2)+INT(H703/480))</f>
        <v>43742</v>
      </c>
      <c r="J703" s="27">
        <f t="shared" si="11"/>
        <v>0.4375</v>
      </c>
    </row>
    <row r="704" spans="1:10">
      <c r="A704" t="str">
        <f>VLOOKUP(Summary!M703,Summary!$P$13:$Q$24,2)</f>
        <v>B1200-fire</v>
      </c>
      <c r="B704">
        <f>ROUND(NORMINV(Summary!M705,VLOOKUP(A704,Summary!$Q$13:$S$24,3,FALSE),VLOOKUP(A704,Summary!$Q$13:$S$24,3,FALSE)/6),-1)</f>
        <v>1160</v>
      </c>
      <c r="C704" t="str">
        <f>IF(AND(H704=0,C703=Summary!$P$2),Summary!$Q$2,IF(AND(H704=0,C703=Summary!$Q$2),Summary!$R$2,C703))</f>
        <v>Reed</v>
      </c>
      <c r="D704" t="str">
        <f>IF(C704=Summary!$P$26,VLOOKUP(Summary!M711,Summary!$Q$26:$R$27,2),IF('Run Data'!C704=Summary!$P$28,VLOOKUP(Summary!M711,Summary!$Q$28:$R$29,2),VLOOKUP(Summary!M711,Summary!$Q$30:$R$32,2)))</f>
        <v>Sprig 4</v>
      </c>
      <c r="E704" t="str">
        <f>VLOOKUP(Summary!M714,Summary!$P$42:$Q$43,2)</f>
        <v>86</v>
      </c>
      <c r="F704">
        <f>IF(LEFT(A704,3)="B60",20,IF(LEFT(A704,3)="B12",30,25))+B704*0.5+INT(Summary!M717*20)</f>
        <v>627</v>
      </c>
      <c r="G704">
        <f>ROUND(IF(OR(ISERROR(FIND(Summary!$P$89,CONCATENATE(C704,D704,E704))),ISERROR(FIND(Summary!$Q$89,A704))),Summary!$R$45,IF(H704&gt;Summary!$V$3,Summary!$R$46,Summary!$R$45))*(B704+30),0)</f>
        <v>12</v>
      </c>
      <c r="H704">
        <f>IF(H703&gt;Summary!$V$4,0,H703+F703)</f>
        <v>73373</v>
      </c>
      <c r="I704" s="26">
        <f>DATE(YEAR(Summary!$V$2),MONTH(Summary!$V$2),DAY(Summary!$V$2)+INT(H704/480))</f>
        <v>43742</v>
      </c>
      <c r="J704" s="27">
        <f t="shared" si="11"/>
        <v>0.62013888888888891</v>
      </c>
    </row>
    <row r="705" spans="1:10">
      <c r="A705" t="str">
        <f>VLOOKUP(Summary!M704,Summary!$P$13:$Q$24,2)</f>
        <v>B1200-sky</v>
      </c>
      <c r="B705">
        <f>ROUND(NORMINV(Summary!M706,VLOOKUP(A705,Summary!$Q$13:$S$24,3,FALSE),VLOOKUP(A705,Summary!$Q$13:$S$24,3,FALSE)/6),-1)</f>
        <v>1320</v>
      </c>
      <c r="C705" t="str">
        <f>IF(AND(H705=0,C704=Summary!$P$2),Summary!$Q$2,IF(AND(H705=0,C704=Summary!$Q$2),Summary!$R$2,C704))</f>
        <v>Reed</v>
      </c>
      <c r="D705" t="str">
        <f>IF(C705=Summary!$P$26,VLOOKUP(Summary!M712,Summary!$Q$26:$R$27,2),IF('Run Data'!C705=Summary!$P$28,VLOOKUP(Summary!M712,Summary!$Q$28:$R$29,2),VLOOKUP(Summary!M712,Summary!$Q$30:$R$32,2)))</f>
        <v>Sprig 2</v>
      </c>
      <c r="E705" t="str">
        <f>VLOOKUP(Summary!M715,Summary!$P$42:$Q$43,2)</f>
        <v>86</v>
      </c>
      <c r="F705">
        <f>IF(LEFT(A705,3)="B60",20,IF(LEFT(A705,3)="B12",30,25))+B705*0.5+INT(Summary!M718*20)</f>
        <v>700</v>
      </c>
      <c r="G705">
        <f>ROUND(IF(OR(ISERROR(FIND(Summary!$P$89,CONCATENATE(C705,D705,E705))),ISERROR(FIND(Summary!$Q$89,A705))),Summary!$R$45,IF(H705&gt;Summary!$V$3,Summary!$R$46,Summary!$R$45))*(B705+30),0)</f>
        <v>14</v>
      </c>
      <c r="H705">
        <f>IF(H704&gt;Summary!$V$4,0,H704+F704)</f>
        <v>74000</v>
      </c>
      <c r="I705" s="26">
        <f>DATE(YEAR(Summary!$V$2),MONTH(Summary!$V$2),DAY(Summary!$V$2)+INT(H705/480))</f>
        <v>43744</v>
      </c>
      <c r="J705" s="27">
        <f t="shared" si="11"/>
        <v>0.3888888888888889</v>
      </c>
    </row>
    <row r="706" spans="1:10">
      <c r="A706" t="str">
        <f>VLOOKUP(Summary!M705,Summary!$P$13:$Q$24,2)</f>
        <v>B1200-sky</v>
      </c>
      <c r="B706">
        <f>ROUND(NORMINV(Summary!M707,VLOOKUP(A706,Summary!$Q$13:$S$24,3,FALSE),VLOOKUP(A706,Summary!$Q$13:$S$24,3,FALSE)/6),-1)</f>
        <v>1160</v>
      </c>
      <c r="C706" t="str">
        <f>IF(AND(H706=0,C705=Summary!$P$2),Summary!$Q$2,IF(AND(H706=0,C705=Summary!$Q$2),Summary!$R$2,C705))</f>
        <v>Reed</v>
      </c>
      <c r="D706" t="str">
        <f>IF(C706=Summary!$P$26,VLOOKUP(Summary!M713,Summary!$Q$26:$R$27,2),IF('Run Data'!C706=Summary!$P$28,VLOOKUP(Summary!M713,Summary!$Q$28:$R$29,2),VLOOKUP(Summary!M713,Summary!$Q$30:$R$32,2)))</f>
        <v>Sprig 4</v>
      </c>
      <c r="E706" t="str">
        <f>VLOOKUP(Summary!M716,Summary!$P$42:$Q$43,2)</f>
        <v>87b</v>
      </c>
      <c r="F706">
        <f>IF(LEFT(A706,3)="B60",20,IF(LEFT(A706,3)="B12",30,25))+B706*0.5+INT(Summary!M719*20)</f>
        <v>614</v>
      </c>
      <c r="G706">
        <f>ROUND(IF(OR(ISERROR(FIND(Summary!$P$89,CONCATENATE(C706,D706,E706))),ISERROR(FIND(Summary!$Q$89,A706))),Summary!$R$45,IF(H706&gt;Summary!$V$3,Summary!$R$46,Summary!$R$45))*(B706+30),0)</f>
        <v>12</v>
      </c>
      <c r="H706">
        <f>IF(H705&gt;Summary!$V$4,0,H705+F705)</f>
        <v>74700</v>
      </c>
      <c r="I706" s="26">
        <f>DATE(YEAR(Summary!$V$2),MONTH(Summary!$V$2),DAY(Summary!$V$2)+INT(H706/480))</f>
        <v>43745</v>
      </c>
      <c r="J706" s="27">
        <f t="shared" si="11"/>
        <v>0.54166666666666663</v>
      </c>
    </row>
    <row r="707" spans="1:10">
      <c r="A707" t="str">
        <f>VLOOKUP(Summary!M706,Summary!$P$13:$Q$24,2)</f>
        <v>B1700-plum</v>
      </c>
      <c r="B707">
        <f>ROUND(NORMINV(Summary!M708,VLOOKUP(A707,Summary!$Q$13:$S$24,3,FALSE),VLOOKUP(A707,Summary!$Q$13:$S$24,3,FALSE)/6),-1)</f>
        <v>310</v>
      </c>
      <c r="C707" t="str">
        <f>IF(AND(H707=0,C706=Summary!$P$2),Summary!$Q$2,IF(AND(H707=0,C706=Summary!$Q$2),Summary!$R$2,C706))</f>
        <v>Reed</v>
      </c>
      <c r="D707" t="str">
        <f>IF(C707=Summary!$P$26,VLOOKUP(Summary!M714,Summary!$Q$26:$R$27,2),IF('Run Data'!C707=Summary!$P$28,VLOOKUP(Summary!M714,Summary!$Q$28:$R$29,2),VLOOKUP(Summary!M714,Summary!$Q$30:$R$32,2)))</f>
        <v>Sprig 2</v>
      </c>
      <c r="E707" t="str">
        <f>VLOOKUP(Summary!M717,Summary!$P$42:$Q$43,2)</f>
        <v>87b</v>
      </c>
      <c r="F707">
        <f>IF(LEFT(A707,3)="B60",20,IF(LEFT(A707,3)="B12",30,25))+B707*0.5+INT(Summary!M720*20)</f>
        <v>195</v>
      </c>
      <c r="G707">
        <f>ROUND(IF(OR(ISERROR(FIND(Summary!$P$89,CONCATENATE(C707,D707,E707))),ISERROR(FIND(Summary!$Q$89,A707))),Summary!$R$45,IF(H707&gt;Summary!$V$3,Summary!$R$46,Summary!$R$45))*(B707+30),0)</f>
        <v>3</v>
      </c>
      <c r="H707">
        <f>IF(H706&gt;Summary!$V$4,0,H706+F706)</f>
        <v>75314</v>
      </c>
      <c r="I707" s="26">
        <f>DATE(YEAR(Summary!$V$2),MONTH(Summary!$V$2),DAY(Summary!$V$2)+INT(H707/480))</f>
        <v>43746</v>
      </c>
      <c r="J707" s="27">
        <f t="shared" si="11"/>
        <v>0.63472222222222219</v>
      </c>
    </row>
    <row r="708" spans="1:10">
      <c r="A708" t="str">
        <f>VLOOKUP(Summary!M707,Summary!$P$13:$Q$24,2)</f>
        <v>B1200-sky</v>
      </c>
      <c r="B708">
        <f>ROUND(NORMINV(Summary!M709,VLOOKUP(A708,Summary!$Q$13:$S$24,3,FALSE),VLOOKUP(A708,Summary!$Q$13:$S$24,3,FALSE)/6),-1)</f>
        <v>1220</v>
      </c>
      <c r="C708" t="str">
        <f>IF(AND(H708=0,C707=Summary!$P$2),Summary!$Q$2,IF(AND(H708=0,C707=Summary!$Q$2),Summary!$R$2,C707))</f>
        <v>Reed</v>
      </c>
      <c r="D708" t="str">
        <f>IF(C708=Summary!$P$26,VLOOKUP(Summary!M715,Summary!$Q$26:$R$27,2),IF('Run Data'!C708=Summary!$P$28,VLOOKUP(Summary!M715,Summary!$Q$28:$R$29,2),VLOOKUP(Summary!M715,Summary!$Q$30:$R$32,2)))</f>
        <v>Sprig 4</v>
      </c>
      <c r="E708" t="str">
        <f>VLOOKUP(Summary!M718,Summary!$P$42:$Q$43,2)</f>
        <v>86</v>
      </c>
      <c r="F708">
        <f>IF(LEFT(A708,3)="B60",20,IF(LEFT(A708,3)="B12",30,25))+B708*0.5+INT(Summary!M721*20)</f>
        <v>644</v>
      </c>
      <c r="G708">
        <f>ROUND(IF(OR(ISERROR(FIND(Summary!$P$89,CONCATENATE(C708,D708,E708))),ISERROR(FIND(Summary!$Q$89,A708))),Summary!$R$45,IF(H708&gt;Summary!$V$3,Summary!$R$46,Summary!$R$45))*(B708+30),0)</f>
        <v>13</v>
      </c>
      <c r="H708">
        <f>IF(H707&gt;Summary!$V$4,0,H707+F707)</f>
        <v>75509</v>
      </c>
      <c r="I708" s="26">
        <f>DATE(YEAR(Summary!$V$2),MONTH(Summary!$V$2),DAY(Summary!$V$2)+INT(H708/480))</f>
        <v>43747</v>
      </c>
      <c r="J708" s="27">
        <f t="shared" si="11"/>
        <v>0.4368055555555555</v>
      </c>
    </row>
    <row r="709" spans="1:10">
      <c r="A709" t="str">
        <f>VLOOKUP(Summary!M708,Summary!$P$13:$Q$24,2)</f>
        <v>B1200-lime</v>
      </c>
      <c r="B709">
        <f>ROUND(NORMINV(Summary!M710,VLOOKUP(A709,Summary!$Q$13:$S$24,3,FALSE),VLOOKUP(A709,Summary!$Q$13:$S$24,3,FALSE)/6),-1)</f>
        <v>1110</v>
      </c>
      <c r="C709" t="str">
        <f>IF(AND(H709=0,C708=Summary!$P$2),Summary!$Q$2,IF(AND(H709=0,C708=Summary!$Q$2),Summary!$R$2,C708))</f>
        <v>Reed</v>
      </c>
      <c r="D709" t="str">
        <f>IF(C709=Summary!$P$26,VLOOKUP(Summary!M716,Summary!$Q$26:$R$27,2),IF('Run Data'!C709=Summary!$P$28,VLOOKUP(Summary!M716,Summary!$Q$28:$R$29,2),VLOOKUP(Summary!M716,Summary!$Q$30:$R$32,2)))</f>
        <v>Sprig 4</v>
      </c>
      <c r="E709" t="str">
        <f>VLOOKUP(Summary!M719,Summary!$P$42:$Q$43,2)</f>
        <v>86</v>
      </c>
      <c r="F709">
        <f>IF(LEFT(A709,3)="B60",20,IF(LEFT(A709,3)="B12",30,25))+B709*0.5+INT(Summary!M722*20)</f>
        <v>589</v>
      </c>
      <c r="G709">
        <f>ROUND(IF(OR(ISERROR(FIND(Summary!$P$89,CONCATENATE(C709,D709,E709))),ISERROR(FIND(Summary!$Q$89,A709))),Summary!$R$45,IF(H709&gt;Summary!$V$3,Summary!$R$46,Summary!$R$45))*(B709+30),0)</f>
        <v>11</v>
      </c>
      <c r="H709">
        <f>IF(H708&gt;Summary!$V$4,0,H708+F708)</f>
        <v>76153</v>
      </c>
      <c r="I709" s="26">
        <f>DATE(YEAR(Summary!$V$2),MONTH(Summary!$V$2),DAY(Summary!$V$2)+INT(H709/480))</f>
        <v>43748</v>
      </c>
      <c r="J709" s="27">
        <f t="shared" si="11"/>
        <v>0.55069444444444449</v>
      </c>
    </row>
    <row r="710" spans="1:10">
      <c r="A710" t="str">
        <f>VLOOKUP(Summary!M709,Summary!$P$13:$Q$24,2)</f>
        <v>B1200-fire</v>
      </c>
      <c r="B710">
        <f>ROUND(NORMINV(Summary!M711,VLOOKUP(A710,Summary!$Q$13:$S$24,3,FALSE),VLOOKUP(A710,Summary!$Q$13:$S$24,3,FALSE)/6),-1)</f>
        <v>1410</v>
      </c>
      <c r="C710" t="str">
        <f>IF(AND(H710=0,C709=Summary!$P$2),Summary!$Q$2,IF(AND(H710=0,C709=Summary!$Q$2),Summary!$R$2,C709))</f>
        <v>Reed</v>
      </c>
      <c r="D710" t="str">
        <f>IF(C710=Summary!$P$26,VLOOKUP(Summary!M717,Summary!$Q$26:$R$27,2),IF('Run Data'!C710=Summary!$P$28,VLOOKUP(Summary!M717,Summary!$Q$28:$R$29,2),VLOOKUP(Summary!M717,Summary!$Q$30:$R$32,2)))</f>
        <v>Sprig 4</v>
      </c>
      <c r="E710" t="str">
        <f>VLOOKUP(Summary!M720,Summary!$P$42:$Q$43,2)</f>
        <v>86</v>
      </c>
      <c r="F710">
        <f>IF(LEFT(A710,3)="B60",20,IF(LEFT(A710,3)="B12",30,25))+B710*0.5+INT(Summary!M723*20)</f>
        <v>750</v>
      </c>
      <c r="G710">
        <f>ROUND(IF(OR(ISERROR(FIND(Summary!$P$89,CONCATENATE(C710,D710,E710))),ISERROR(FIND(Summary!$Q$89,A710))),Summary!$R$45,IF(H710&gt;Summary!$V$3,Summary!$R$46,Summary!$R$45))*(B710+30),0)</f>
        <v>14</v>
      </c>
      <c r="H710">
        <f>IF(H709&gt;Summary!$V$4,0,H709+F709)</f>
        <v>76742</v>
      </c>
      <c r="I710" s="26">
        <f>DATE(YEAR(Summary!$V$2),MONTH(Summary!$V$2),DAY(Summary!$V$2)+INT(H710/480))</f>
        <v>43749</v>
      </c>
      <c r="J710" s="27">
        <f t="shared" si="11"/>
        <v>0.62638888888888888</v>
      </c>
    </row>
    <row r="711" spans="1:10">
      <c r="A711" t="str">
        <f>VLOOKUP(Summary!M710,Summary!$P$13:$Q$24,2)</f>
        <v>B1700-lime</v>
      </c>
      <c r="B711">
        <f>ROUND(NORMINV(Summary!M712,VLOOKUP(A711,Summary!$Q$13:$S$24,3,FALSE),VLOOKUP(A711,Summary!$Q$13:$S$24,3,FALSE)/6),-1)</f>
        <v>400</v>
      </c>
      <c r="C711" t="str">
        <f>IF(AND(H711=0,C710=Summary!$P$2),Summary!$Q$2,IF(AND(H711=0,C710=Summary!$Q$2),Summary!$R$2,C710))</f>
        <v>Reed</v>
      </c>
      <c r="D711" t="str">
        <f>IF(C711=Summary!$P$26,VLOOKUP(Summary!M718,Summary!$Q$26:$R$27,2),IF('Run Data'!C711=Summary!$P$28,VLOOKUP(Summary!M718,Summary!$Q$28:$R$29,2),VLOOKUP(Summary!M718,Summary!$Q$30:$R$32,2)))</f>
        <v>Sprig 2</v>
      </c>
      <c r="E711" t="str">
        <f>VLOOKUP(Summary!M721,Summary!$P$42:$Q$43,2)</f>
        <v>86</v>
      </c>
      <c r="F711">
        <f>IF(LEFT(A711,3)="B60",20,IF(LEFT(A711,3)="B12",30,25))+B711*0.5+INT(Summary!M724*20)</f>
        <v>227</v>
      </c>
      <c r="G711">
        <f>ROUND(IF(OR(ISERROR(FIND(Summary!$P$89,CONCATENATE(C711,D711,E711))),ISERROR(FIND(Summary!$Q$89,A711))),Summary!$R$45,IF(H711&gt;Summary!$V$3,Summary!$R$46,Summary!$R$45))*(B711+30),0)</f>
        <v>52</v>
      </c>
      <c r="H711">
        <f>IF(H710&gt;Summary!$V$4,0,H710+F710)</f>
        <v>77492</v>
      </c>
      <c r="I711" s="26">
        <f>DATE(YEAR(Summary!$V$2),MONTH(Summary!$V$2),DAY(Summary!$V$2)+INT(H711/480))</f>
        <v>43751</v>
      </c>
      <c r="J711" s="27">
        <f t="shared" si="11"/>
        <v>0.48055555555555557</v>
      </c>
    </row>
    <row r="712" spans="1:10">
      <c r="A712" t="str">
        <f>VLOOKUP(Summary!M711,Summary!$P$13:$Q$24,2)</f>
        <v>B1700-fire</v>
      </c>
      <c r="B712">
        <f>ROUND(NORMINV(Summary!M713,VLOOKUP(A712,Summary!$Q$13:$S$24,3,FALSE),VLOOKUP(A712,Summary!$Q$13:$S$24,3,FALSE)/6),-1)</f>
        <v>900</v>
      </c>
      <c r="C712" t="str">
        <f>IF(AND(H712=0,C711=Summary!$P$2),Summary!$Q$2,IF(AND(H712=0,C711=Summary!$Q$2),Summary!$R$2,C711))</f>
        <v>Reed</v>
      </c>
      <c r="D712" t="str">
        <f>IF(C712=Summary!$P$26,VLOOKUP(Summary!M719,Summary!$Q$26:$R$27,2),IF('Run Data'!C712=Summary!$P$28,VLOOKUP(Summary!M719,Summary!$Q$28:$R$29,2),VLOOKUP(Summary!M719,Summary!$Q$30:$R$32,2)))</f>
        <v>Sprig 2</v>
      </c>
      <c r="E712" t="str">
        <f>VLOOKUP(Summary!M722,Summary!$P$42:$Q$43,2)</f>
        <v>86</v>
      </c>
      <c r="F712">
        <f>IF(LEFT(A712,3)="B60",20,IF(LEFT(A712,3)="B12",30,25))+B712*0.5+INT(Summary!M725*20)</f>
        <v>493</v>
      </c>
      <c r="G712">
        <f>ROUND(IF(OR(ISERROR(FIND(Summary!$P$89,CONCATENATE(C712,D712,E712))),ISERROR(FIND(Summary!$Q$89,A712))),Summary!$R$45,IF(H712&gt;Summary!$V$3,Summary!$R$46,Summary!$R$45))*(B712+30),0)</f>
        <v>112</v>
      </c>
      <c r="H712">
        <f>IF(H711&gt;Summary!$V$4,0,H711+F711)</f>
        <v>77719</v>
      </c>
      <c r="I712" s="26">
        <f>DATE(YEAR(Summary!$V$2),MONTH(Summary!$V$2),DAY(Summary!$V$2)+INT(H712/480))</f>
        <v>43751</v>
      </c>
      <c r="J712" s="27">
        <f t="shared" si="11"/>
        <v>0.6381944444444444</v>
      </c>
    </row>
    <row r="713" spans="1:10">
      <c r="A713" t="str">
        <f>VLOOKUP(Summary!M712,Summary!$P$13:$Q$24,2)</f>
        <v>B1200-fire</v>
      </c>
      <c r="B713">
        <f>ROUND(NORMINV(Summary!M714,VLOOKUP(A713,Summary!$Q$13:$S$24,3,FALSE),VLOOKUP(A713,Summary!$Q$13:$S$24,3,FALSE)/6),-1)</f>
        <v>1270</v>
      </c>
      <c r="C713" t="str">
        <f>IF(AND(H713=0,C712=Summary!$P$2),Summary!$Q$2,IF(AND(H713=0,C712=Summary!$Q$2),Summary!$R$2,C712))</f>
        <v>Reed</v>
      </c>
      <c r="D713" t="str">
        <f>IF(C713=Summary!$P$26,VLOOKUP(Summary!M720,Summary!$Q$26:$R$27,2),IF('Run Data'!C713=Summary!$P$28,VLOOKUP(Summary!M720,Summary!$Q$28:$R$29,2),VLOOKUP(Summary!M720,Summary!$Q$30:$R$32,2)))</f>
        <v>Sprig 2</v>
      </c>
      <c r="E713" t="str">
        <f>VLOOKUP(Summary!M723,Summary!$P$42:$Q$43,2)</f>
        <v>86</v>
      </c>
      <c r="F713">
        <f>IF(LEFT(A713,3)="B60",20,IF(LEFT(A713,3)="B12",30,25))+B713*0.5+INT(Summary!M726*20)</f>
        <v>679</v>
      </c>
      <c r="G713">
        <f>ROUND(IF(OR(ISERROR(FIND(Summary!$P$89,CONCATENATE(C713,D713,E713))),ISERROR(FIND(Summary!$Q$89,A713))),Summary!$R$45,IF(H713&gt;Summary!$V$3,Summary!$R$46,Summary!$R$45))*(B713+30),0)</f>
        <v>13</v>
      </c>
      <c r="H713">
        <f>IF(H712&gt;Summary!$V$4,0,H712+F712)</f>
        <v>78212</v>
      </c>
      <c r="I713" s="26">
        <f>DATE(YEAR(Summary!$V$2),MONTH(Summary!$V$2),DAY(Summary!$V$2)+INT(H713/480))</f>
        <v>43752</v>
      </c>
      <c r="J713" s="27">
        <f t="shared" si="11"/>
        <v>0.64722222222222225</v>
      </c>
    </row>
    <row r="714" spans="1:10">
      <c r="A714" t="str">
        <f>VLOOKUP(Summary!M713,Summary!$P$13:$Q$24,2)</f>
        <v>B1700-fire</v>
      </c>
      <c r="B714">
        <f>ROUND(NORMINV(Summary!M715,VLOOKUP(A714,Summary!$Q$13:$S$24,3,FALSE),VLOOKUP(A714,Summary!$Q$13:$S$24,3,FALSE)/6),-1)</f>
        <v>860</v>
      </c>
      <c r="C714" t="str">
        <f>IF(AND(H714=0,C713=Summary!$P$2),Summary!$Q$2,IF(AND(H714=0,C713=Summary!$Q$2),Summary!$R$2,C713))</f>
        <v>Reed</v>
      </c>
      <c r="D714" t="str">
        <f>IF(C714=Summary!$P$26,VLOOKUP(Summary!M721,Summary!$Q$26:$R$27,2),IF('Run Data'!C714=Summary!$P$28,VLOOKUP(Summary!M721,Summary!$Q$28:$R$29,2),VLOOKUP(Summary!M721,Summary!$Q$30:$R$32,2)))</f>
        <v>Sprig 2</v>
      </c>
      <c r="E714" t="str">
        <f>VLOOKUP(Summary!M724,Summary!$P$42:$Q$43,2)</f>
        <v>86</v>
      </c>
      <c r="F714">
        <f>IF(LEFT(A714,3)="B60",20,IF(LEFT(A714,3)="B12",30,25))+B714*0.5+INT(Summary!M727*20)</f>
        <v>458</v>
      </c>
      <c r="G714">
        <f>ROUND(IF(OR(ISERROR(FIND(Summary!$P$89,CONCATENATE(C714,D714,E714))),ISERROR(FIND(Summary!$Q$89,A714))),Summary!$R$45,IF(H714&gt;Summary!$V$3,Summary!$R$46,Summary!$R$45))*(B714+30),0)</f>
        <v>107</v>
      </c>
      <c r="H714">
        <f>IF(H713&gt;Summary!$V$4,0,H713+F713)</f>
        <v>78891</v>
      </c>
      <c r="I714" s="26">
        <f>DATE(YEAR(Summary!$V$2),MONTH(Summary!$V$2),DAY(Summary!$V$2)+INT(H714/480))</f>
        <v>43754</v>
      </c>
      <c r="J714" s="27">
        <f t="shared" si="11"/>
        <v>0.45208333333333334</v>
      </c>
    </row>
    <row r="715" spans="1:10">
      <c r="A715" t="str">
        <f>VLOOKUP(Summary!M714,Summary!$P$13:$Q$24,2)</f>
        <v>B1200-lime</v>
      </c>
      <c r="B715">
        <f>ROUND(NORMINV(Summary!M716,VLOOKUP(A715,Summary!$Q$13:$S$24,3,FALSE),VLOOKUP(A715,Summary!$Q$13:$S$24,3,FALSE)/6),-1)</f>
        <v>980</v>
      </c>
      <c r="C715" t="str">
        <f>IF(AND(H715=0,C714=Summary!$P$2),Summary!$Q$2,IF(AND(H715=0,C714=Summary!$Q$2),Summary!$R$2,C714))</f>
        <v>Reed</v>
      </c>
      <c r="D715" t="str">
        <f>IF(C715=Summary!$P$26,VLOOKUP(Summary!M722,Summary!$Q$26:$R$27,2),IF('Run Data'!C715=Summary!$P$28,VLOOKUP(Summary!M722,Summary!$Q$28:$R$29,2),VLOOKUP(Summary!M722,Summary!$Q$30:$R$32,2)))</f>
        <v>Sprig 2</v>
      </c>
      <c r="E715" t="str">
        <f>VLOOKUP(Summary!M725,Summary!$P$42:$Q$43,2)</f>
        <v>87b</v>
      </c>
      <c r="F715">
        <f>IF(LEFT(A715,3)="B60",20,IF(LEFT(A715,3)="B12",30,25))+B715*0.5+INT(Summary!M728*20)</f>
        <v>529</v>
      </c>
      <c r="G715">
        <f>ROUND(IF(OR(ISERROR(FIND(Summary!$P$89,CONCATENATE(C715,D715,E715))),ISERROR(FIND(Summary!$Q$89,A715))),Summary!$R$45,IF(H715&gt;Summary!$V$3,Summary!$R$46,Summary!$R$45))*(B715+30),0)</f>
        <v>10</v>
      </c>
      <c r="H715">
        <f>IF(H714&gt;Summary!$V$4,0,H714+F714)</f>
        <v>79349</v>
      </c>
      <c r="I715" s="26">
        <f>DATE(YEAR(Summary!$V$2),MONTH(Summary!$V$2),DAY(Summary!$V$2)+INT(H715/480))</f>
        <v>43755</v>
      </c>
      <c r="J715" s="27">
        <f t="shared" si="11"/>
        <v>0.4368055555555555</v>
      </c>
    </row>
    <row r="716" spans="1:10">
      <c r="A716" t="str">
        <f>VLOOKUP(Summary!M715,Summary!$P$13:$Q$24,2)</f>
        <v>B1700-sky</v>
      </c>
      <c r="B716">
        <f>ROUND(NORMINV(Summary!M717,VLOOKUP(A716,Summary!$Q$13:$S$24,3,FALSE),VLOOKUP(A716,Summary!$Q$13:$S$24,3,FALSE)/6),-1)</f>
        <v>650</v>
      </c>
      <c r="C716" t="str">
        <f>IF(AND(H716=0,C715=Summary!$P$2),Summary!$Q$2,IF(AND(H716=0,C715=Summary!$Q$2),Summary!$R$2,C715))</f>
        <v>Reed</v>
      </c>
      <c r="D716" t="str">
        <f>IF(C716=Summary!$P$26,VLOOKUP(Summary!M723,Summary!$Q$26:$R$27,2),IF('Run Data'!C716=Summary!$P$28,VLOOKUP(Summary!M723,Summary!$Q$28:$R$29,2),VLOOKUP(Summary!M723,Summary!$Q$30:$R$32,2)))</f>
        <v>Sprig 2</v>
      </c>
      <c r="E716" t="str">
        <f>VLOOKUP(Summary!M726,Summary!$P$42:$Q$43,2)</f>
        <v>86</v>
      </c>
      <c r="F716">
        <f>IF(LEFT(A716,3)="B60",20,IF(LEFT(A716,3)="B12",30,25))+B716*0.5+INT(Summary!M729*20)</f>
        <v>352</v>
      </c>
      <c r="G716">
        <f>ROUND(IF(OR(ISERROR(FIND(Summary!$P$89,CONCATENATE(C716,D716,E716))),ISERROR(FIND(Summary!$Q$89,A716))),Summary!$R$45,IF(H716&gt;Summary!$V$3,Summary!$R$46,Summary!$R$45))*(B716+30),0)</f>
        <v>82</v>
      </c>
      <c r="H716">
        <f>IF(H715&gt;Summary!$V$4,0,H715+F715)</f>
        <v>79878</v>
      </c>
      <c r="I716" s="26">
        <f>DATE(YEAR(Summary!$V$2),MONTH(Summary!$V$2),DAY(Summary!$V$2)+INT(H716/480))</f>
        <v>43756</v>
      </c>
      <c r="J716" s="27">
        <f t="shared" si="11"/>
        <v>0.47083333333333338</v>
      </c>
    </row>
    <row r="717" spans="1:10">
      <c r="A717" t="str">
        <f>VLOOKUP(Summary!M716,Summary!$P$13:$Q$24,2)</f>
        <v>B1700-lime</v>
      </c>
      <c r="B717">
        <f>ROUND(NORMINV(Summary!M718,VLOOKUP(A717,Summary!$Q$13:$S$24,3,FALSE),VLOOKUP(A717,Summary!$Q$13:$S$24,3,FALSE)/6),-1)</f>
        <v>400</v>
      </c>
      <c r="C717" t="str">
        <f>IF(AND(H717=0,C716=Summary!$P$2),Summary!$Q$2,IF(AND(H717=0,C716=Summary!$Q$2),Summary!$R$2,C716))</f>
        <v>Reed</v>
      </c>
      <c r="D717" t="str">
        <f>IF(C717=Summary!$P$26,VLOOKUP(Summary!M724,Summary!$Q$26:$R$27,2),IF('Run Data'!C717=Summary!$P$28,VLOOKUP(Summary!M724,Summary!$Q$28:$R$29,2),VLOOKUP(Summary!M724,Summary!$Q$30:$R$32,2)))</f>
        <v>Sprig 2</v>
      </c>
      <c r="E717" t="str">
        <f>VLOOKUP(Summary!M727,Summary!$P$42:$Q$43,2)</f>
        <v>86</v>
      </c>
      <c r="F717">
        <f>IF(LEFT(A717,3)="B60",20,IF(LEFT(A717,3)="B12",30,25))+B717*0.5+INT(Summary!M730*20)</f>
        <v>244</v>
      </c>
      <c r="G717">
        <f>ROUND(IF(OR(ISERROR(FIND(Summary!$P$89,CONCATENATE(C717,D717,E717))),ISERROR(FIND(Summary!$Q$89,A717))),Summary!$R$45,IF(H717&gt;Summary!$V$3,Summary!$R$46,Summary!$R$45))*(B717+30),0)</f>
        <v>52</v>
      </c>
      <c r="H717">
        <f>IF(H716&gt;Summary!$V$4,0,H716+F716)</f>
        <v>80230</v>
      </c>
      <c r="I717" s="26">
        <f>DATE(YEAR(Summary!$V$2),MONTH(Summary!$V$2),DAY(Summary!$V$2)+INT(H717/480))</f>
        <v>43757</v>
      </c>
      <c r="J717" s="27">
        <f t="shared" si="11"/>
        <v>0.38194444444444442</v>
      </c>
    </row>
    <row r="718" spans="1:10">
      <c r="A718" t="str">
        <f>VLOOKUP(Summary!M717,Summary!$P$13:$Q$24,2)</f>
        <v>B1700-fire</v>
      </c>
      <c r="B718">
        <f>ROUND(NORMINV(Summary!M719,VLOOKUP(A718,Summary!$Q$13:$S$24,3,FALSE),VLOOKUP(A718,Summary!$Q$13:$S$24,3,FALSE)/6),-1)</f>
        <v>650</v>
      </c>
      <c r="C718" t="str">
        <f>IF(AND(H718=0,C717=Summary!$P$2),Summary!$Q$2,IF(AND(H718=0,C717=Summary!$Q$2),Summary!$R$2,C717))</f>
        <v>Reed</v>
      </c>
      <c r="D718" t="str">
        <f>IF(C718=Summary!$P$26,VLOOKUP(Summary!M725,Summary!$Q$26:$R$27,2),IF('Run Data'!C718=Summary!$P$28,VLOOKUP(Summary!M725,Summary!$Q$28:$R$29,2),VLOOKUP(Summary!M725,Summary!$Q$30:$R$32,2)))</f>
        <v>Sprig 4</v>
      </c>
      <c r="E718" t="str">
        <f>VLOOKUP(Summary!M728,Summary!$P$42:$Q$43,2)</f>
        <v>86</v>
      </c>
      <c r="F718">
        <f>IF(LEFT(A718,3)="B60",20,IF(LEFT(A718,3)="B12",30,25))+B718*0.5+INT(Summary!M731*20)</f>
        <v>353</v>
      </c>
      <c r="G718">
        <f>ROUND(IF(OR(ISERROR(FIND(Summary!$P$89,CONCATENATE(C718,D718,E718))),ISERROR(FIND(Summary!$Q$89,A718))),Summary!$R$45,IF(H718&gt;Summary!$V$3,Summary!$R$46,Summary!$R$45))*(B718+30),0)</f>
        <v>82</v>
      </c>
      <c r="H718">
        <f>IF(H717&gt;Summary!$V$4,0,H717+F717)</f>
        <v>80474</v>
      </c>
      <c r="I718" s="26">
        <f>DATE(YEAR(Summary!$V$2),MONTH(Summary!$V$2),DAY(Summary!$V$2)+INT(H718/480))</f>
        <v>43757</v>
      </c>
      <c r="J718" s="27">
        <f t="shared" si="11"/>
        <v>0.55138888888888882</v>
      </c>
    </row>
    <row r="719" spans="1:10">
      <c r="A719" t="str">
        <f>VLOOKUP(Summary!M718,Summary!$P$13:$Q$24,2)</f>
        <v>B1200-fire</v>
      </c>
      <c r="B719">
        <f>ROUND(NORMINV(Summary!M720,VLOOKUP(A719,Summary!$Q$13:$S$24,3,FALSE),VLOOKUP(A719,Summary!$Q$13:$S$24,3,FALSE)/6),-1)</f>
        <v>1370</v>
      </c>
      <c r="C719" t="str">
        <f>IF(AND(H719=0,C718=Summary!$P$2),Summary!$Q$2,IF(AND(H719=0,C718=Summary!$Q$2),Summary!$R$2,C718))</f>
        <v>Reed</v>
      </c>
      <c r="D719" t="str">
        <f>IF(C719=Summary!$P$26,VLOOKUP(Summary!M726,Summary!$Q$26:$R$27,2),IF('Run Data'!C719=Summary!$P$28,VLOOKUP(Summary!M726,Summary!$Q$28:$R$29,2),VLOOKUP(Summary!M726,Summary!$Q$30:$R$32,2)))</f>
        <v>Sprig 2</v>
      </c>
      <c r="E719" t="str">
        <f>VLOOKUP(Summary!M729,Summary!$P$42:$Q$43,2)</f>
        <v>86</v>
      </c>
      <c r="F719">
        <f>IF(LEFT(A719,3)="B60",20,IF(LEFT(A719,3)="B12",30,25))+B719*0.5+INT(Summary!M732*20)</f>
        <v>722</v>
      </c>
      <c r="G719">
        <f>ROUND(IF(OR(ISERROR(FIND(Summary!$P$89,CONCATENATE(C719,D719,E719))),ISERROR(FIND(Summary!$Q$89,A719))),Summary!$R$45,IF(H719&gt;Summary!$V$3,Summary!$R$46,Summary!$R$45))*(B719+30),0)</f>
        <v>14</v>
      </c>
      <c r="H719">
        <f>IF(H718&gt;Summary!$V$4,0,H718+F718)</f>
        <v>80827</v>
      </c>
      <c r="I719" s="26">
        <f>DATE(YEAR(Summary!$V$2),MONTH(Summary!$V$2),DAY(Summary!$V$2)+INT(H719/480))</f>
        <v>43758</v>
      </c>
      <c r="J719" s="27">
        <f t="shared" si="11"/>
        <v>0.46319444444444446</v>
      </c>
    </row>
    <row r="720" spans="1:10">
      <c r="A720" t="str">
        <f>VLOOKUP(Summary!M719,Summary!$P$13:$Q$24,2)</f>
        <v>B600-lime</v>
      </c>
      <c r="B720">
        <f>ROUND(NORMINV(Summary!M721,VLOOKUP(A720,Summary!$Q$13:$S$24,3,FALSE),VLOOKUP(A720,Summary!$Q$13:$S$24,3,FALSE)/6),-1)</f>
        <v>260</v>
      </c>
      <c r="C720" t="str">
        <f>IF(AND(H720=0,C719=Summary!$P$2),Summary!$Q$2,IF(AND(H720=0,C719=Summary!$Q$2),Summary!$R$2,C719))</f>
        <v>Reed</v>
      </c>
      <c r="D720" t="str">
        <f>IF(C720=Summary!$P$26,VLOOKUP(Summary!M727,Summary!$Q$26:$R$27,2),IF('Run Data'!C720=Summary!$P$28,VLOOKUP(Summary!M727,Summary!$Q$28:$R$29,2),VLOOKUP(Summary!M727,Summary!$Q$30:$R$32,2)))</f>
        <v>Sprig 2</v>
      </c>
      <c r="E720" t="str">
        <f>VLOOKUP(Summary!M730,Summary!$P$42:$Q$43,2)</f>
        <v>87b</v>
      </c>
      <c r="F720">
        <f>IF(LEFT(A720,3)="B60",20,IF(LEFT(A720,3)="B12",30,25))+B720*0.5+INT(Summary!M733*20)</f>
        <v>150</v>
      </c>
      <c r="G720">
        <f>ROUND(IF(OR(ISERROR(FIND(Summary!$P$89,CONCATENATE(C720,D720,E720))),ISERROR(FIND(Summary!$Q$89,A720))),Summary!$R$45,IF(H720&gt;Summary!$V$3,Summary!$R$46,Summary!$R$45))*(B720+30),0)</f>
        <v>3</v>
      </c>
      <c r="H720">
        <f>IF(H719&gt;Summary!$V$4,0,H719+F719)</f>
        <v>81549</v>
      </c>
      <c r="I720" s="26">
        <f>DATE(YEAR(Summary!$V$2),MONTH(Summary!$V$2),DAY(Summary!$V$2)+INT(H720/480))</f>
        <v>43759</v>
      </c>
      <c r="J720" s="27">
        <f t="shared" si="11"/>
        <v>0.63124999999999998</v>
      </c>
    </row>
    <row r="721" spans="1:10">
      <c r="A721" t="str">
        <f>VLOOKUP(Summary!M720,Summary!$P$13:$Q$24,2)</f>
        <v>B1700-sky</v>
      </c>
      <c r="B721">
        <f>ROUND(NORMINV(Summary!M722,VLOOKUP(A721,Summary!$Q$13:$S$24,3,FALSE),VLOOKUP(A721,Summary!$Q$13:$S$24,3,FALSE)/6),-1)</f>
        <v>480</v>
      </c>
      <c r="C721" t="str">
        <f>IF(AND(H721=0,C720=Summary!$P$2),Summary!$Q$2,IF(AND(H721=0,C720=Summary!$Q$2),Summary!$R$2,C720))</f>
        <v>Reed</v>
      </c>
      <c r="D721" t="str">
        <f>IF(C721=Summary!$P$26,VLOOKUP(Summary!M728,Summary!$Q$26:$R$27,2),IF('Run Data'!C721=Summary!$P$28,VLOOKUP(Summary!M728,Summary!$Q$28:$R$29,2),VLOOKUP(Summary!M728,Summary!$Q$30:$R$32,2)))</f>
        <v>Sprig 2</v>
      </c>
      <c r="E721" t="str">
        <f>VLOOKUP(Summary!M731,Summary!$P$42:$Q$43,2)</f>
        <v>86</v>
      </c>
      <c r="F721">
        <f>IF(LEFT(A721,3)="B60",20,IF(LEFT(A721,3)="B12",30,25))+B721*0.5+INT(Summary!M734*20)</f>
        <v>281</v>
      </c>
      <c r="G721">
        <f>ROUND(IF(OR(ISERROR(FIND(Summary!$P$89,CONCATENATE(C721,D721,E721))),ISERROR(FIND(Summary!$Q$89,A721))),Summary!$R$45,IF(H721&gt;Summary!$V$3,Summary!$R$46,Summary!$R$45))*(B721+30),0)</f>
        <v>61</v>
      </c>
      <c r="H721">
        <f>IF(H720&gt;Summary!$V$4,0,H720+F720)</f>
        <v>81699</v>
      </c>
      <c r="I721" s="26">
        <f>DATE(YEAR(Summary!$V$2),MONTH(Summary!$V$2),DAY(Summary!$V$2)+INT(H721/480))</f>
        <v>43760</v>
      </c>
      <c r="J721" s="27">
        <f t="shared" ref="J721:J784" si="12">TIME(INT(MOD(H721,480)/60)+8,MOD(MOD(H721,480),60),0)</f>
        <v>0.40208333333333335</v>
      </c>
    </row>
    <row r="722" spans="1:10">
      <c r="A722" t="str">
        <f>VLOOKUP(Summary!M721,Summary!$P$13:$Q$24,2)</f>
        <v>B1200-plum</v>
      </c>
      <c r="B722">
        <f>ROUND(NORMINV(Summary!M723,VLOOKUP(A722,Summary!$Q$13:$S$24,3,FALSE),VLOOKUP(A722,Summary!$Q$13:$S$24,3,FALSE)/6),-1)</f>
        <v>510</v>
      </c>
      <c r="C722" t="str">
        <f>IF(AND(H722=0,C721=Summary!$P$2),Summary!$Q$2,IF(AND(H722=0,C721=Summary!$Q$2),Summary!$R$2,C721))</f>
        <v>Reed</v>
      </c>
      <c r="D722" t="str">
        <f>IF(C722=Summary!$P$26,VLOOKUP(Summary!M729,Summary!$Q$26:$R$27,2),IF('Run Data'!C722=Summary!$P$28,VLOOKUP(Summary!M729,Summary!$Q$28:$R$29,2),VLOOKUP(Summary!M729,Summary!$Q$30:$R$32,2)))</f>
        <v>Sprig 2</v>
      </c>
      <c r="E722" t="str">
        <f>VLOOKUP(Summary!M732,Summary!$P$42:$Q$43,2)</f>
        <v>86</v>
      </c>
      <c r="F722">
        <f>IF(LEFT(A722,3)="B60",20,IF(LEFT(A722,3)="B12",30,25))+B722*0.5+INT(Summary!M735*20)</f>
        <v>297</v>
      </c>
      <c r="G722">
        <f>ROUND(IF(OR(ISERROR(FIND(Summary!$P$89,CONCATENATE(C722,D722,E722))),ISERROR(FIND(Summary!$Q$89,A722))),Summary!$R$45,IF(H722&gt;Summary!$V$3,Summary!$R$46,Summary!$R$45))*(B722+30),0)</f>
        <v>5</v>
      </c>
      <c r="H722">
        <f>IF(H721&gt;Summary!$V$4,0,H721+F721)</f>
        <v>81980</v>
      </c>
      <c r="I722" s="26">
        <f>DATE(YEAR(Summary!$V$2),MONTH(Summary!$V$2),DAY(Summary!$V$2)+INT(H722/480))</f>
        <v>43760</v>
      </c>
      <c r="J722" s="27">
        <f t="shared" si="12"/>
        <v>0.59722222222222221</v>
      </c>
    </row>
    <row r="723" spans="1:10">
      <c r="A723" t="str">
        <f>VLOOKUP(Summary!M722,Summary!$P$13:$Q$24,2)</f>
        <v>B1200-plum</v>
      </c>
      <c r="B723">
        <f>ROUND(NORMINV(Summary!M724,VLOOKUP(A723,Summary!$Q$13:$S$24,3,FALSE),VLOOKUP(A723,Summary!$Q$13:$S$24,3,FALSE)/6),-1)</f>
        <v>360</v>
      </c>
      <c r="C723" t="str">
        <f>IF(AND(H723=0,C722=Summary!$P$2),Summary!$Q$2,IF(AND(H723=0,C722=Summary!$Q$2),Summary!$R$2,C722))</f>
        <v>Reed</v>
      </c>
      <c r="D723" t="str">
        <f>IF(C723=Summary!$P$26,VLOOKUP(Summary!M730,Summary!$Q$26:$R$27,2),IF('Run Data'!C723=Summary!$P$28,VLOOKUP(Summary!M730,Summary!$Q$28:$R$29,2),VLOOKUP(Summary!M730,Summary!$Q$30:$R$32,2)))</f>
        <v>Sprig 4</v>
      </c>
      <c r="E723" t="str">
        <f>VLOOKUP(Summary!M733,Summary!$P$42:$Q$43,2)</f>
        <v>86</v>
      </c>
      <c r="F723">
        <f>IF(LEFT(A723,3)="B60",20,IF(LEFT(A723,3)="B12",30,25))+B723*0.5+INT(Summary!M736*20)</f>
        <v>210</v>
      </c>
      <c r="G723">
        <f>ROUND(IF(OR(ISERROR(FIND(Summary!$P$89,CONCATENATE(C723,D723,E723))),ISERROR(FIND(Summary!$Q$89,A723))),Summary!$R$45,IF(H723&gt;Summary!$V$3,Summary!$R$46,Summary!$R$45))*(B723+30),0)</f>
        <v>4</v>
      </c>
      <c r="H723">
        <f>IF(H722&gt;Summary!$V$4,0,H722+F722)</f>
        <v>82277</v>
      </c>
      <c r="I723" s="26">
        <f>DATE(YEAR(Summary!$V$2),MONTH(Summary!$V$2),DAY(Summary!$V$2)+INT(H723/480))</f>
        <v>43761</v>
      </c>
      <c r="J723" s="27">
        <f t="shared" si="12"/>
        <v>0.47013888888888888</v>
      </c>
    </row>
    <row r="724" spans="1:10">
      <c r="A724" t="str">
        <f>VLOOKUP(Summary!M723,Summary!$P$13:$Q$24,2)</f>
        <v>B1700-sky</v>
      </c>
      <c r="B724">
        <f>ROUND(NORMINV(Summary!M725,VLOOKUP(A724,Summary!$Q$13:$S$24,3,FALSE),VLOOKUP(A724,Summary!$Q$13:$S$24,3,FALSE)/6),-1)</f>
        <v>670</v>
      </c>
      <c r="C724" t="str">
        <f>IF(AND(H724=0,C723=Summary!$P$2),Summary!$Q$2,IF(AND(H724=0,C723=Summary!$Q$2),Summary!$R$2,C723))</f>
        <v>Reed</v>
      </c>
      <c r="D724" t="str">
        <f>IF(C724=Summary!$P$26,VLOOKUP(Summary!M731,Summary!$Q$26:$R$27,2),IF('Run Data'!C724=Summary!$P$28,VLOOKUP(Summary!M731,Summary!$Q$28:$R$29,2),VLOOKUP(Summary!M731,Summary!$Q$30:$R$32,2)))</f>
        <v>Sprig 2</v>
      </c>
      <c r="E724" t="str">
        <f>VLOOKUP(Summary!M734,Summary!$P$42:$Q$43,2)</f>
        <v>86</v>
      </c>
      <c r="F724">
        <f>IF(LEFT(A724,3)="B60",20,IF(LEFT(A724,3)="B12",30,25))+B724*0.5+INT(Summary!M737*20)</f>
        <v>364</v>
      </c>
      <c r="G724">
        <f>ROUND(IF(OR(ISERROR(FIND(Summary!$P$89,CONCATENATE(C724,D724,E724))),ISERROR(FIND(Summary!$Q$89,A724))),Summary!$R$45,IF(H724&gt;Summary!$V$3,Summary!$R$46,Summary!$R$45))*(B724+30),0)</f>
        <v>84</v>
      </c>
      <c r="H724">
        <f>IF(H723&gt;Summary!$V$4,0,H723+F723)</f>
        <v>82487</v>
      </c>
      <c r="I724" s="26">
        <f>DATE(YEAR(Summary!$V$2),MONTH(Summary!$V$2),DAY(Summary!$V$2)+INT(H724/480))</f>
        <v>43761</v>
      </c>
      <c r="J724" s="27">
        <f t="shared" si="12"/>
        <v>0.61597222222222225</v>
      </c>
    </row>
    <row r="725" spans="1:10">
      <c r="A725" t="str">
        <f>VLOOKUP(Summary!M724,Summary!$P$13:$Q$24,2)</f>
        <v>B600-fire</v>
      </c>
      <c r="B725">
        <f>ROUND(NORMINV(Summary!M726,VLOOKUP(A725,Summary!$Q$13:$S$24,3,FALSE),VLOOKUP(A725,Summary!$Q$13:$S$24,3,FALSE)/6),-1)</f>
        <v>440</v>
      </c>
      <c r="C725" t="str">
        <f>IF(AND(H725=0,C724=Summary!$P$2),Summary!$Q$2,IF(AND(H725=0,C724=Summary!$Q$2),Summary!$R$2,C724))</f>
        <v>Reed</v>
      </c>
      <c r="D725" t="str">
        <f>IF(C725=Summary!$P$26,VLOOKUP(Summary!M732,Summary!$Q$26:$R$27,2),IF('Run Data'!C725=Summary!$P$28,VLOOKUP(Summary!M732,Summary!$Q$28:$R$29,2),VLOOKUP(Summary!M732,Summary!$Q$30:$R$32,2)))</f>
        <v>Sprig 2</v>
      </c>
      <c r="E725" t="str">
        <f>VLOOKUP(Summary!M735,Summary!$P$42:$Q$43,2)</f>
        <v>86</v>
      </c>
      <c r="F725">
        <f>IF(LEFT(A725,3)="B60",20,IF(LEFT(A725,3)="B12",30,25))+B725*0.5+INT(Summary!M738*20)</f>
        <v>245</v>
      </c>
      <c r="G725">
        <f>ROUND(IF(OR(ISERROR(FIND(Summary!$P$89,CONCATENATE(C725,D725,E725))),ISERROR(FIND(Summary!$Q$89,A725))),Summary!$R$45,IF(H725&gt;Summary!$V$3,Summary!$R$46,Summary!$R$45))*(B725+30),0)</f>
        <v>5</v>
      </c>
      <c r="H725">
        <f>IF(H724&gt;Summary!$V$4,0,H724+F724)</f>
        <v>82851</v>
      </c>
      <c r="I725" s="26">
        <f>DATE(YEAR(Summary!$V$2),MONTH(Summary!$V$2),DAY(Summary!$V$2)+INT(H725/480))</f>
        <v>43762</v>
      </c>
      <c r="J725" s="27">
        <f t="shared" si="12"/>
        <v>0.53541666666666665</v>
      </c>
    </row>
    <row r="726" spans="1:10">
      <c r="A726" t="str">
        <f>VLOOKUP(Summary!M725,Summary!$P$13:$Q$24,2)</f>
        <v>B1700-lime</v>
      </c>
      <c r="B726">
        <f>ROUND(NORMINV(Summary!M727,VLOOKUP(A726,Summary!$Q$13:$S$24,3,FALSE),VLOOKUP(A726,Summary!$Q$13:$S$24,3,FALSE)/6),-1)</f>
        <v>340</v>
      </c>
      <c r="C726" t="str">
        <f>IF(AND(H726=0,C725=Summary!$P$2),Summary!$Q$2,IF(AND(H726=0,C725=Summary!$Q$2),Summary!$R$2,C725))</f>
        <v>Reed</v>
      </c>
      <c r="D726" t="str">
        <f>IF(C726=Summary!$P$26,VLOOKUP(Summary!M733,Summary!$Q$26:$R$27,2),IF('Run Data'!C726=Summary!$P$28,VLOOKUP(Summary!M733,Summary!$Q$28:$R$29,2),VLOOKUP(Summary!M733,Summary!$Q$30:$R$32,2)))</f>
        <v>Sprig 2</v>
      </c>
      <c r="E726" t="str">
        <f>VLOOKUP(Summary!M736,Summary!$P$42:$Q$43,2)</f>
        <v>86</v>
      </c>
      <c r="F726">
        <f>IF(LEFT(A726,3)="B60",20,IF(LEFT(A726,3)="B12",30,25))+B726*0.5+INT(Summary!M739*20)</f>
        <v>201</v>
      </c>
      <c r="G726">
        <f>ROUND(IF(OR(ISERROR(FIND(Summary!$P$89,CONCATENATE(C726,D726,E726))),ISERROR(FIND(Summary!$Q$89,A726))),Summary!$R$45,IF(H726&gt;Summary!$V$3,Summary!$R$46,Summary!$R$45))*(B726+30),0)</f>
        <v>44</v>
      </c>
      <c r="H726">
        <f>IF(H725&gt;Summary!$V$4,0,H725+F725)</f>
        <v>83096</v>
      </c>
      <c r="I726" s="26">
        <f>DATE(YEAR(Summary!$V$2),MONTH(Summary!$V$2),DAY(Summary!$V$2)+INT(H726/480))</f>
        <v>43763</v>
      </c>
      <c r="J726" s="27">
        <f t="shared" si="12"/>
        <v>0.37222222222222223</v>
      </c>
    </row>
    <row r="727" spans="1:10">
      <c r="A727" t="str">
        <f>VLOOKUP(Summary!M726,Summary!$P$13:$Q$24,2)</f>
        <v>B1700-plum</v>
      </c>
      <c r="B727">
        <f>ROUND(NORMINV(Summary!M728,VLOOKUP(A727,Summary!$Q$13:$S$24,3,FALSE),VLOOKUP(A727,Summary!$Q$13:$S$24,3,FALSE)/6),-1)</f>
        <v>300</v>
      </c>
      <c r="C727" t="str">
        <f>IF(AND(H727=0,C726=Summary!$P$2),Summary!$Q$2,IF(AND(H727=0,C726=Summary!$Q$2),Summary!$R$2,C726))</f>
        <v>Reed</v>
      </c>
      <c r="D727" t="str">
        <f>IF(C727=Summary!$P$26,VLOOKUP(Summary!M734,Summary!$Q$26:$R$27,2),IF('Run Data'!C727=Summary!$P$28,VLOOKUP(Summary!M734,Summary!$Q$28:$R$29,2),VLOOKUP(Summary!M734,Summary!$Q$30:$R$32,2)))</f>
        <v>Sprig 4</v>
      </c>
      <c r="E727" t="str">
        <f>VLOOKUP(Summary!M737,Summary!$P$42:$Q$43,2)</f>
        <v>86</v>
      </c>
      <c r="F727">
        <f>IF(LEFT(A727,3)="B60",20,IF(LEFT(A727,3)="B12",30,25))+B727*0.5+INT(Summary!M740*20)</f>
        <v>177</v>
      </c>
      <c r="G727">
        <f>ROUND(IF(OR(ISERROR(FIND(Summary!$P$89,CONCATENATE(C727,D727,E727))),ISERROR(FIND(Summary!$Q$89,A727))),Summary!$R$45,IF(H727&gt;Summary!$V$3,Summary!$R$46,Summary!$R$45))*(B727+30),0)</f>
        <v>40</v>
      </c>
      <c r="H727">
        <f>IF(H726&gt;Summary!$V$4,0,H726+F726)</f>
        <v>83297</v>
      </c>
      <c r="I727" s="26">
        <f>DATE(YEAR(Summary!$V$2),MONTH(Summary!$V$2),DAY(Summary!$V$2)+INT(H727/480))</f>
        <v>43763</v>
      </c>
      <c r="J727" s="27">
        <f t="shared" si="12"/>
        <v>0.51180555555555551</v>
      </c>
    </row>
    <row r="728" spans="1:10">
      <c r="A728" t="str">
        <f>VLOOKUP(Summary!M727,Summary!$P$13:$Q$24,2)</f>
        <v>B600-lime</v>
      </c>
      <c r="B728">
        <f>ROUND(NORMINV(Summary!M729,VLOOKUP(A728,Summary!$Q$13:$S$24,3,FALSE),VLOOKUP(A728,Summary!$Q$13:$S$24,3,FALSE)/6),-1)</f>
        <v>240</v>
      </c>
      <c r="C728" t="str">
        <f>IF(AND(H728=0,C727=Summary!$P$2),Summary!$Q$2,IF(AND(H728=0,C727=Summary!$Q$2),Summary!$R$2,C727))</f>
        <v>Reed</v>
      </c>
      <c r="D728" t="str">
        <f>IF(C728=Summary!$P$26,VLOOKUP(Summary!M735,Summary!$Q$26:$R$27,2),IF('Run Data'!C728=Summary!$P$28,VLOOKUP(Summary!M735,Summary!$Q$28:$R$29,2),VLOOKUP(Summary!M735,Summary!$Q$30:$R$32,2)))</f>
        <v>Sprig 2</v>
      </c>
      <c r="E728" t="str">
        <f>VLOOKUP(Summary!M738,Summary!$P$42:$Q$43,2)</f>
        <v>86</v>
      </c>
      <c r="F728">
        <f>IF(LEFT(A728,3)="B60",20,IF(LEFT(A728,3)="B12",30,25))+B728*0.5+INT(Summary!M741*20)</f>
        <v>157</v>
      </c>
      <c r="G728">
        <f>ROUND(IF(OR(ISERROR(FIND(Summary!$P$89,CONCATENATE(C728,D728,E728))),ISERROR(FIND(Summary!$Q$89,A728))),Summary!$R$45,IF(H728&gt;Summary!$V$3,Summary!$R$46,Summary!$R$45))*(B728+30),0)</f>
        <v>3</v>
      </c>
      <c r="H728">
        <f>IF(H727&gt;Summary!$V$4,0,H727+F727)</f>
        <v>83474</v>
      </c>
      <c r="I728" s="26">
        <f>DATE(YEAR(Summary!$V$2),MONTH(Summary!$V$2),DAY(Summary!$V$2)+INT(H728/480))</f>
        <v>43763</v>
      </c>
      <c r="J728" s="27">
        <f t="shared" si="12"/>
        <v>0.63472222222222219</v>
      </c>
    </row>
    <row r="729" spans="1:10">
      <c r="A729" t="str">
        <f>VLOOKUP(Summary!M728,Summary!$P$13:$Q$24,2)</f>
        <v>B1200-fire</v>
      </c>
      <c r="B729">
        <f>ROUND(NORMINV(Summary!M730,VLOOKUP(A729,Summary!$Q$13:$S$24,3,FALSE),VLOOKUP(A729,Summary!$Q$13:$S$24,3,FALSE)/6),-1)</f>
        <v>1570</v>
      </c>
      <c r="C729" t="str">
        <f>IF(AND(H729=0,C728=Summary!$P$2),Summary!$Q$2,IF(AND(H729=0,C728=Summary!$Q$2),Summary!$R$2,C728))</f>
        <v>Reed</v>
      </c>
      <c r="D729" t="str">
        <f>IF(C729=Summary!$P$26,VLOOKUP(Summary!M736,Summary!$Q$26:$R$27,2),IF('Run Data'!C729=Summary!$P$28,VLOOKUP(Summary!M736,Summary!$Q$28:$R$29,2),VLOOKUP(Summary!M736,Summary!$Q$30:$R$32,2)))</f>
        <v>Sprig 2</v>
      </c>
      <c r="E729" t="str">
        <f>VLOOKUP(Summary!M739,Summary!$P$42:$Q$43,2)</f>
        <v>86</v>
      </c>
      <c r="F729">
        <f>IF(LEFT(A729,3)="B60",20,IF(LEFT(A729,3)="B12",30,25))+B729*0.5+INT(Summary!M742*20)</f>
        <v>825</v>
      </c>
      <c r="G729">
        <f>ROUND(IF(OR(ISERROR(FIND(Summary!$P$89,CONCATENATE(C729,D729,E729))),ISERROR(FIND(Summary!$Q$89,A729))),Summary!$R$45,IF(H729&gt;Summary!$V$3,Summary!$R$46,Summary!$R$45))*(B729+30),0)</f>
        <v>16</v>
      </c>
      <c r="H729">
        <f>IF(H728&gt;Summary!$V$4,0,H728+F728)</f>
        <v>83631</v>
      </c>
      <c r="I729" s="26">
        <f>DATE(YEAR(Summary!$V$2),MONTH(Summary!$V$2),DAY(Summary!$V$2)+INT(H729/480))</f>
        <v>43764</v>
      </c>
      <c r="J729" s="27">
        <f t="shared" si="12"/>
        <v>0.41041666666666665</v>
      </c>
    </row>
    <row r="730" spans="1:10">
      <c r="A730" t="str">
        <f>VLOOKUP(Summary!M729,Summary!$P$13:$Q$24,2)</f>
        <v>B600-fire</v>
      </c>
      <c r="B730">
        <f>ROUND(NORMINV(Summary!M731,VLOOKUP(A730,Summary!$Q$13:$S$24,3,FALSE),VLOOKUP(A730,Summary!$Q$13:$S$24,3,FALSE)/6),-1)</f>
        <v>340</v>
      </c>
      <c r="C730" t="str">
        <f>IF(AND(H730=0,C729=Summary!$P$2),Summary!$Q$2,IF(AND(H730=0,C729=Summary!$Q$2),Summary!$R$2,C729))</f>
        <v>Reed</v>
      </c>
      <c r="D730" t="str">
        <f>IF(C730=Summary!$P$26,VLOOKUP(Summary!M737,Summary!$Q$26:$R$27,2),IF('Run Data'!C730=Summary!$P$28,VLOOKUP(Summary!M737,Summary!$Q$28:$R$29,2),VLOOKUP(Summary!M737,Summary!$Q$30:$R$32,2)))</f>
        <v>Sprig 2</v>
      </c>
      <c r="E730" t="str">
        <f>VLOOKUP(Summary!M740,Summary!$P$42:$Q$43,2)</f>
        <v>86</v>
      </c>
      <c r="F730">
        <f>IF(LEFT(A730,3)="B60",20,IF(LEFT(A730,3)="B12",30,25))+B730*0.5+INT(Summary!M743*20)</f>
        <v>191</v>
      </c>
      <c r="G730">
        <f>ROUND(IF(OR(ISERROR(FIND(Summary!$P$89,CONCATENATE(C730,D730,E730))),ISERROR(FIND(Summary!$Q$89,A730))),Summary!$R$45,IF(H730&gt;Summary!$V$3,Summary!$R$46,Summary!$R$45))*(B730+30),0)</f>
        <v>4</v>
      </c>
      <c r="H730">
        <f>IF(H729&gt;Summary!$V$4,0,H729+F729)</f>
        <v>84456</v>
      </c>
      <c r="I730" s="26">
        <f>DATE(YEAR(Summary!$V$2),MONTH(Summary!$V$2),DAY(Summary!$V$2)+INT(H730/480))</f>
        <v>43765</v>
      </c>
      <c r="J730" s="27">
        <f t="shared" si="12"/>
        <v>0.65</v>
      </c>
    </row>
    <row r="731" spans="1:10">
      <c r="A731" t="str">
        <f>VLOOKUP(Summary!M730,Summary!$P$13:$Q$24,2)</f>
        <v>B1700-lime</v>
      </c>
      <c r="B731">
        <f>ROUND(NORMINV(Summary!M732,VLOOKUP(A731,Summary!$Q$13:$S$24,3,FALSE),VLOOKUP(A731,Summary!$Q$13:$S$24,3,FALSE)/6),-1)</f>
        <v>380</v>
      </c>
      <c r="C731" t="str">
        <f>IF(AND(H731=0,C730=Summary!$P$2),Summary!$Q$2,IF(AND(H731=0,C730=Summary!$Q$2),Summary!$R$2,C730))</f>
        <v>Reed</v>
      </c>
      <c r="D731" t="str">
        <f>IF(C731=Summary!$P$26,VLOOKUP(Summary!M738,Summary!$Q$26:$R$27,2),IF('Run Data'!C731=Summary!$P$28,VLOOKUP(Summary!M738,Summary!$Q$28:$R$29,2),VLOOKUP(Summary!M738,Summary!$Q$30:$R$32,2)))</f>
        <v>Sprig 2</v>
      </c>
      <c r="E731" t="str">
        <f>VLOOKUP(Summary!M741,Summary!$P$42:$Q$43,2)</f>
        <v>87b</v>
      </c>
      <c r="F731">
        <f>IF(LEFT(A731,3)="B60",20,IF(LEFT(A731,3)="B12",30,25))+B731*0.5+INT(Summary!M744*20)</f>
        <v>218</v>
      </c>
      <c r="G731">
        <f>ROUND(IF(OR(ISERROR(FIND(Summary!$P$89,CONCATENATE(C731,D731,E731))),ISERROR(FIND(Summary!$Q$89,A731))),Summary!$R$45,IF(H731&gt;Summary!$V$3,Summary!$R$46,Summary!$R$45))*(B731+30),0)</f>
        <v>4</v>
      </c>
      <c r="H731">
        <f>IF(H730&gt;Summary!$V$4,0,H730+F730)</f>
        <v>84647</v>
      </c>
      <c r="I731" s="26">
        <f>DATE(YEAR(Summary!$V$2),MONTH(Summary!$V$2),DAY(Summary!$V$2)+INT(H731/480))</f>
        <v>43766</v>
      </c>
      <c r="J731" s="27">
        <f t="shared" si="12"/>
        <v>0.44930555555555557</v>
      </c>
    </row>
    <row r="732" spans="1:10">
      <c r="A732" t="str">
        <f>VLOOKUP(Summary!M731,Summary!$P$13:$Q$24,2)</f>
        <v>B600-lime</v>
      </c>
      <c r="B732">
        <f>ROUND(NORMINV(Summary!M733,VLOOKUP(A732,Summary!$Q$13:$S$24,3,FALSE),VLOOKUP(A732,Summary!$Q$13:$S$24,3,FALSE)/6),-1)</f>
        <v>180</v>
      </c>
      <c r="C732" t="str">
        <f>IF(AND(H732=0,C731=Summary!$P$2),Summary!$Q$2,IF(AND(H732=0,C731=Summary!$Q$2),Summary!$R$2,C731))</f>
        <v>Reed</v>
      </c>
      <c r="D732" t="str">
        <f>IF(C732=Summary!$P$26,VLOOKUP(Summary!M739,Summary!$Q$26:$R$27,2),IF('Run Data'!C732=Summary!$P$28,VLOOKUP(Summary!M739,Summary!$Q$28:$R$29,2),VLOOKUP(Summary!M739,Summary!$Q$30:$R$32,2)))</f>
        <v>Sprig 2</v>
      </c>
      <c r="E732" t="str">
        <f>VLOOKUP(Summary!M742,Summary!$P$42:$Q$43,2)</f>
        <v>86</v>
      </c>
      <c r="F732">
        <f>IF(LEFT(A732,3)="B60",20,IF(LEFT(A732,3)="B12",30,25))+B732*0.5+INT(Summary!M745*20)</f>
        <v>122</v>
      </c>
      <c r="G732">
        <f>ROUND(IF(OR(ISERROR(FIND(Summary!$P$89,CONCATENATE(C732,D732,E732))),ISERROR(FIND(Summary!$Q$89,A732))),Summary!$R$45,IF(H732&gt;Summary!$V$3,Summary!$R$46,Summary!$R$45))*(B732+30),0)</f>
        <v>2</v>
      </c>
      <c r="H732">
        <f>IF(H731&gt;Summary!$V$4,0,H731+F731)</f>
        <v>84865</v>
      </c>
      <c r="I732" s="26">
        <f>DATE(YEAR(Summary!$V$2),MONTH(Summary!$V$2),DAY(Summary!$V$2)+INT(H732/480))</f>
        <v>43766</v>
      </c>
      <c r="J732" s="27">
        <f t="shared" si="12"/>
        <v>0.60069444444444442</v>
      </c>
    </row>
    <row r="733" spans="1:10">
      <c r="A733" t="str">
        <f>VLOOKUP(Summary!M732,Summary!$P$13:$Q$24,2)</f>
        <v>B1200-sky</v>
      </c>
      <c r="B733">
        <f>ROUND(NORMINV(Summary!M734,VLOOKUP(A733,Summary!$Q$13:$S$24,3,FALSE),VLOOKUP(A733,Summary!$Q$13:$S$24,3,FALSE)/6),-1)</f>
        <v>1390</v>
      </c>
      <c r="C733" t="str">
        <f>IF(AND(H733=0,C732=Summary!$P$2),Summary!$Q$2,IF(AND(H733=0,C732=Summary!$Q$2),Summary!$R$2,C732))</f>
        <v>Reed</v>
      </c>
      <c r="D733" t="str">
        <f>IF(C733=Summary!$P$26,VLOOKUP(Summary!M740,Summary!$Q$26:$R$27,2),IF('Run Data'!C733=Summary!$P$28,VLOOKUP(Summary!M740,Summary!$Q$28:$R$29,2),VLOOKUP(Summary!M740,Summary!$Q$30:$R$32,2)))</f>
        <v>Sprig 2</v>
      </c>
      <c r="E733" t="str">
        <f>VLOOKUP(Summary!M743,Summary!$P$42:$Q$43,2)</f>
        <v>86</v>
      </c>
      <c r="F733">
        <f>IF(LEFT(A733,3)="B60",20,IF(LEFT(A733,3)="B12",30,25))+B733*0.5+INT(Summary!M746*20)</f>
        <v>739</v>
      </c>
      <c r="G733">
        <f>ROUND(IF(OR(ISERROR(FIND(Summary!$P$89,CONCATENATE(C733,D733,E733))),ISERROR(FIND(Summary!$Q$89,A733))),Summary!$R$45,IF(H733&gt;Summary!$V$3,Summary!$R$46,Summary!$R$45))*(B733+30),0)</f>
        <v>14</v>
      </c>
      <c r="H733">
        <f>IF(H732&gt;Summary!$V$4,0,H732+F732)</f>
        <v>84987</v>
      </c>
      <c r="I733" s="26">
        <f>DATE(YEAR(Summary!$V$2),MONTH(Summary!$V$2),DAY(Summary!$V$2)+INT(H733/480))</f>
        <v>43767</v>
      </c>
      <c r="J733" s="27">
        <f t="shared" si="12"/>
        <v>0.3520833333333333</v>
      </c>
    </row>
    <row r="734" spans="1:10">
      <c r="A734" t="str">
        <f>VLOOKUP(Summary!M733,Summary!$P$13:$Q$24,2)</f>
        <v>B600-plum</v>
      </c>
      <c r="B734">
        <f>ROUND(NORMINV(Summary!M735,VLOOKUP(A734,Summary!$Q$13:$S$24,3,FALSE),VLOOKUP(A734,Summary!$Q$13:$S$24,3,FALSE)/6),-1)</f>
        <v>210</v>
      </c>
      <c r="C734" t="str">
        <f>IF(AND(H734=0,C733=Summary!$P$2),Summary!$Q$2,IF(AND(H734=0,C733=Summary!$Q$2),Summary!$R$2,C733))</f>
        <v>Reed</v>
      </c>
      <c r="D734" t="str">
        <f>IF(C734=Summary!$P$26,VLOOKUP(Summary!M741,Summary!$Q$26:$R$27,2),IF('Run Data'!C734=Summary!$P$28,VLOOKUP(Summary!M741,Summary!$Q$28:$R$29,2),VLOOKUP(Summary!M741,Summary!$Q$30:$R$32,2)))</f>
        <v>Sprig 4</v>
      </c>
      <c r="E734" t="str">
        <f>VLOOKUP(Summary!M744,Summary!$P$42:$Q$43,2)</f>
        <v>86</v>
      </c>
      <c r="F734">
        <f>IF(LEFT(A734,3)="B60",20,IF(LEFT(A734,3)="B12",30,25))+B734*0.5+INT(Summary!M747*20)</f>
        <v>132</v>
      </c>
      <c r="G734">
        <f>ROUND(IF(OR(ISERROR(FIND(Summary!$P$89,CONCATENATE(C734,D734,E734))),ISERROR(FIND(Summary!$Q$89,A734))),Summary!$R$45,IF(H734&gt;Summary!$V$3,Summary!$R$46,Summary!$R$45))*(B734+30),0)</f>
        <v>2</v>
      </c>
      <c r="H734">
        <f>IF(H733&gt;Summary!$V$4,0,H733+F733)</f>
        <v>85726</v>
      </c>
      <c r="I734" s="26">
        <f>DATE(YEAR(Summary!$V$2),MONTH(Summary!$V$2),DAY(Summary!$V$2)+INT(H734/480))</f>
        <v>43768</v>
      </c>
      <c r="J734" s="27">
        <f t="shared" si="12"/>
        <v>0.53194444444444444</v>
      </c>
    </row>
    <row r="735" spans="1:10">
      <c r="A735" t="str">
        <f>VLOOKUP(Summary!M734,Summary!$P$13:$Q$24,2)</f>
        <v>B1700-sky</v>
      </c>
      <c r="B735">
        <f>ROUND(NORMINV(Summary!M736,VLOOKUP(A735,Summary!$Q$13:$S$24,3,FALSE),VLOOKUP(A735,Summary!$Q$13:$S$24,3,FALSE)/6),-1)</f>
        <v>370</v>
      </c>
      <c r="C735" t="str">
        <f>IF(AND(H735=0,C734=Summary!$P$2),Summary!$Q$2,IF(AND(H735=0,C734=Summary!$Q$2),Summary!$R$2,C734))</f>
        <v>Reed</v>
      </c>
      <c r="D735" t="str">
        <f>IF(C735=Summary!$P$26,VLOOKUP(Summary!M742,Summary!$Q$26:$R$27,2),IF('Run Data'!C735=Summary!$P$28,VLOOKUP(Summary!M742,Summary!$Q$28:$R$29,2),VLOOKUP(Summary!M742,Summary!$Q$30:$R$32,2)))</f>
        <v>Sprig 2</v>
      </c>
      <c r="E735" t="str">
        <f>VLOOKUP(Summary!M745,Summary!$P$42:$Q$43,2)</f>
        <v>86</v>
      </c>
      <c r="F735">
        <f>IF(LEFT(A735,3)="B60",20,IF(LEFT(A735,3)="B12",30,25))+B735*0.5+INT(Summary!M748*20)</f>
        <v>222</v>
      </c>
      <c r="G735">
        <f>ROUND(IF(OR(ISERROR(FIND(Summary!$P$89,CONCATENATE(C735,D735,E735))),ISERROR(FIND(Summary!$Q$89,A735))),Summary!$R$45,IF(H735&gt;Summary!$V$3,Summary!$R$46,Summary!$R$45))*(B735+30),0)</f>
        <v>48</v>
      </c>
      <c r="H735">
        <f>IF(H734&gt;Summary!$V$4,0,H734+F734)</f>
        <v>85858</v>
      </c>
      <c r="I735" s="26">
        <f>DATE(YEAR(Summary!$V$2),MONTH(Summary!$V$2),DAY(Summary!$V$2)+INT(H735/480))</f>
        <v>43768</v>
      </c>
      <c r="J735" s="27">
        <f t="shared" si="12"/>
        <v>0.62361111111111112</v>
      </c>
    </row>
    <row r="736" spans="1:10">
      <c r="A736" t="str">
        <f>VLOOKUP(Summary!M735,Summary!$P$13:$Q$24,2)</f>
        <v>B1200-lime</v>
      </c>
      <c r="B736">
        <f>ROUND(NORMINV(Summary!M737,VLOOKUP(A736,Summary!$Q$13:$S$24,3,FALSE),VLOOKUP(A736,Summary!$Q$13:$S$24,3,FALSE)/6),-1)</f>
        <v>700</v>
      </c>
      <c r="C736" t="str">
        <f>IF(AND(H736=0,C735=Summary!$P$2),Summary!$Q$2,IF(AND(H736=0,C735=Summary!$Q$2),Summary!$R$2,C735))</f>
        <v>Reed</v>
      </c>
      <c r="D736" t="str">
        <f>IF(C736=Summary!$P$26,VLOOKUP(Summary!M743,Summary!$Q$26:$R$27,2),IF('Run Data'!C736=Summary!$P$28,VLOOKUP(Summary!M743,Summary!$Q$28:$R$29,2),VLOOKUP(Summary!M743,Summary!$Q$30:$R$32,2)))</f>
        <v>Sprig 2</v>
      </c>
      <c r="E736" t="str">
        <f>VLOOKUP(Summary!M746,Summary!$P$42:$Q$43,2)</f>
        <v>86</v>
      </c>
      <c r="F736">
        <f>IF(LEFT(A736,3)="B60",20,IF(LEFT(A736,3)="B12",30,25))+B736*0.5+INT(Summary!M749*20)</f>
        <v>399</v>
      </c>
      <c r="G736">
        <f>ROUND(IF(OR(ISERROR(FIND(Summary!$P$89,CONCATENATE(C736,D736,E736))),ISERROR(FIND(Summary!$Q$89,A736))),Summary!$R$45,IF(H736&gt;Summary!$V$3,Summary!$R$46,Summary!$R$45))*(B736+30),0)</f>
        <v>7</v>
      </c>
      <c r="H736">
        <f>IF(H735&gt;Summary!$V$4,0,H735+F735)</f>
        <v>86080</v>
      </c>
      <c r="I736" s="26">
        <f>DATE(YEAR(Summary!$V$2),MONTH(Summary!$V$2),DAY(Summary!$V$2)+INT(H736/480))</f>
        <v>43769</v>
      </c>
      <c r="J736" s="27">
        <f t="shared" si="12"/>
        <v>0.44444444444444442</v>
      </c>
    </row>
    <row r="737" spans="1:10">
      <c r="A737" t="str">
        <f>VLOOKUP(Summary!M736,Summary!$P$13:$Q$24,2)</f>
        <v>B600-plum</v>
      </c>
      <c r="B737">
        <f>ROUND(NORMINV(Summary!M738,VLOOKUP(A737,Summary!$Q$13:$S$24,3,FALSE),VLOOKUP(A737,Summary!$Q$13:$S$24,3,FALSE)/6),-1)</f>
        <v>180</v>
      </c>
      <c r="C737" t="str">
        <f>IF(AND(H737=0,C736=Summary!$P$2),Summary!$Q$2,IF(AND(H737=0,C736=Summary!$Q$2),Summary!$R$2,C736))</f>
        <v>Reed</v>
      </c>
      <c r="D737" t="str">
        <f>IF(C737=Summary!$P$26,VLOOKUP(Summary!M744,Summary!$Q$26:$R$27,2),IF('Run Data'!C737=Summary!$P$28,VLOOKUP(Summary!M744,Summary!$Q$28:$R$29,2),VLOOKUP(Summary!M744,Summary!$Q$30:$R$32,2)))</f>
        <v>Sprig 2</v>
      </c>
      <c r="E737" t="str">
        <f>VLOOKUP(Summary!M747,Summary!$P$42:$Q$43,2)</f>
        <v>86</v>
      </c>
      <c r="F737">
        <f>IF(LEFT(A737,3)="B60",20,IF(LEFT(A737,3)="B12",30,25))+B737*0.5+INT(Summary!M750*20)</f>
        <v>117</v>
      </c>
      <c r="G737">
        <f>ROUND(IF(OR(ISERROR(FIND(Summary!$P$89,CONCATENATE(C737,D737,E737))),ISERROR(FIND(Summary!$Q$89,A737))),Summary!$R$45,IF(H737&gt;Summary!$V$3,Summary!$R$46,Summary!$R$45))*(B737+30),0)</f>
        <v>2</v>
      </c>
      <c r="H737">
        <f>IF(H736&gt;Summary!$V$4,0,H736+F736)</f>
        <v>86479</v>
      </c>
      <c r="I737" s="26">
        <f>DATE(YEAR(Summary!$V$2),MONTH(Summary!$V$2),DAY(Summary!$V$2)+INT(H737/480))</f>
        <v>43770</v>
      </c>
      <c r="J737" s="27">
        <f t="shared" si="12"/>
        <v>0.38819444444444445</v>
      </c>
    </row>
    <row r="738" spans="1:10">
      <c r="A738" t="str">
        <f>VLOOKUP(Summary!M737,Summary!$P$13:$Q$24,2)</f>
        <v>B1200-plum</v>
      </c>
      <c r="B738">
        <f>ROUND(NORMINV(Summary!M739,VLOOKUP(A738,Summary!$Q$13:$S$24,3,FALSE),VLOOKUP(A738,Summary!$Q$13:$S$24,3,FALSE)/6),-1)</f>
        <v>410</v>
      </c>
      <c r="C738" t="str">
        <f>IF(AND(H738=0,C737=Summary!$P$2),Summary!$Q$2,IF(AND(H738=0,C737=Summary!$Q$2),Summary!$R$2,C737))</f>
        <v>Reed</v>
      </c>
      <c r="D738" t="str">
        <f>IF(C738=Summary!$P$26,VLOOKUP(Summary!M745,Summary!$Q$26:$R$27,2),IF('Run Data'!C738=Summary!$P$28,VLOOKUP(Summary!M745,Summary!$Q$28:$R$29,2),VLOOKUP(Summary!M745,Summary!$Q$30:$R$32,2)))</f>
        <v>Sprig 2</v>
      </c>
      <c r="E738" t="str">
        <f>VLOOKUP(Summary!M748,Summary!$P$42:$Q$43,2)</f>
        <v>86</v>
      </c>
      <c r="F738">
        <f>IF(LEFT(A738,3)="B60",20,IF(LEFT(A738,3)="B12",30,25))+B738*0.5+INT(Summary!M751*20)</f>
        <v>253</v>
      </c>
      <c r="G738">
        <f>ROUND(IF(OR(ISERROR(FIND(Summary!$P$89,CONCATENATE(C738,D738,E738))),ISERROR(FIND(Summary!$Q$89,A738))),Summary!$R$45,IF(H738&gt;Summary!$V$3,Summary!$R$46,Summary!$R$45))*(B738+30),0)</f>
        <v>4</v>
      </c>
      <c r="H738">
        <f>IF(H737&gt;Summary!$V$4,0,H737+F737)</f>
        <v>86596</v>
      </c>
      <c r="I738" s="26">
        <f>DATE(YEAR(Summary!$V$2),MONTH(Summary!$V$2),DAY(Summary!$V$2)+INT(H738/480))</f>
        <v>43770</v>
      </c>
      <c r="J738" s="27">
        <f t="shared" si="12"/>
        <v>0.4694444444444445</v>
      </c>
    </row>
    <row r="739" spans="1:10">
      <c r="A739" t="str">
        <f>VLOOKUP(Summary!M738,Summary!$P$13:$Q$24,2)</f>
        <v>B1200-plum</v>
      </c>
      <c r="B739">
        <f>ROUND(NORMINV(Summary!M740,VLOOKUP(A739,Summary!$Q$13:$S$24,3,FALSE),VLOOKUP(A739,Summary!$Q$13:$S$24,3,FALSE)/6),-1)</f>
        <v>370</v>
      </c>
      <c r="C739" t="str">
        <f>IF(AND(H739=0,C738=Summary!$P$2),Summary!$Q$2,IF(AND(H739=0,C738=Summary!$Q$2),Summary!$R$2,C738))</f>
        <v>Reed</v>
      </c>
      <c r="D739" t="str">
        <f>IF(C739=Summary!$P$26,VLOOKUP(Summary!M746,Summary!$Q$26:$R$27,2),IF('Run Data'!C739=Summary!$P$28,VLOOKUP(Summary!M746,Summary!$Q$28:$R$29,2),VLOOKUP(Summary!M746,Summary!$Q$30:$R$32,2)))</f>
        <v>Sprig 2</v>
      </c>
      <c r="E739" t="str">
        <f>VLOOKUP(Summary!M749,Summary!$P$42:$Q$43,2)</f>
        <v>87b</v>
      </c>
      <c r="F739">
        <f>IF(LEFT(A739,3)="B60",20,IF(LEFT(A739,3)="B12",30,25))+B739*0.5+INT(Summary!M752*20)</f>
        <v>229</v>
      </c>
      <c r="G739">
        <f>ROUND(IF(OR(ISERROR(FIND(Summary!$P$89,CONCATENATE(C739,D739,E739))),ISERROR(FIND(Summary!$Q$89,A739))),Summary!$R$45,IF(H739&gt;Summary!$V$3,Summary!$R$46,Summary!$R$45))*(B739+30),0)</f>
        <v>4</v>
      </c>
      <c r="H739">
        <f>IF(H738&gt;Summary!$V$4,0,H738+F738)</f>
        <v>86849</v>
      </c>
      <c r="I739" s="26">
        <f>DATE(YEAR(Summary!$V$2),MONTH(Summary!$V$2),DAY(Summary!$V$2)+INT(H739/480))</f>
        <v>43770</v>
      </c>
      <c r="J739" s="27">
        <f t="shared" si="12"/>
        <v>0.64513888888888882</v>
      </c>
    </row>
    <row r="740" spans="1:10">
      <c r="A740" t="str">
        <f>VLOOKUP(Summary!M739,Summary!$P$13:$Q$24,2)</f>
        <v>B1200-plum</v>
      </c>
      <c r="B740">
        <f>ROUND(NORMINV(Summary!M741,VLOOKUP(A740,Summary!$Q$13:$S$24,3,FALSE),VLOOKUP(A740,Summary!$Q$13:$S$24,3,FALSE)/6),-1)</f>
        <v>540</v>
      </c>
      <c r="C740" t="str">
        <f>IF(AND(H740=0,C739=Summary!$P$2),Summary!$Q$2,IF(AND(H740=0,C739=Summary!$Q$2),Summary!$R$2,C739))</f>
        <v>Reed</v>
      </c>
      <c r="D740" t="str">
        <f>IF(C740=Summary!$P$26,VLOOKUP(Summary!M747,Summary!$Q$26:$R$27,2),IF('Run Data'!C740=Summary!$P$28,VLOOKUP(Summary!M747,Summary!$Q$28:$R$29,2),VLOOKUP(Summary!M747,Summary!$Q$30:$R$32,2)))</f>
        <v>Sprig 2</v>
      </c>
      <c r="E740" t="str">
        <f>VLOOKUP(Summary!M750,Summary!$P$42:$Q$43,2)</f>
        <v>86</v>
      </c>
      <c r="F740">
        <f>IF(LEFT(A740,3)="B60",20,IF(LEFT(A740,3)="B12",30,25))+B740*0.5+INT(Summary!M753*20)</f>
        <v>307</v>
      </c>
      <c r="G740">
        <f>ROUND(IF(OR(ISERROR(FIND(Summary!$P$89,CONCATENATE(C740,D740,E740))),ISERROR(FIND(Summary!$Q$89,A740))),Summary!$R$45,IF(H740&gt;Summary!$V$3,Summary!$R$46,Summary!$R$45))*(B740+30),0)</f>
        <v>6</v>
      </c>
      <c r="H740">
        <f>IF(H739&gt;Summary!$V$4,0,H739+F739)</f>
        <v>87078</v>
      </c>
      <c r="I740" s="26">
        <f>DATE(YEAR(Summary!$V$2),MONTH(Summary!$V$2),DAY(Summary!$V$2)+INT(H740/480))</f>
        <v>43771</v>
      </c>
      <c r="J740" s="27">
        <f t="shared" si="12"/>
        <v>0.47083333333333338</v>
      </c>
    </row>
    <row r="741" spans="1:10">
      <c r="A741" t="str">
        <f>VLOOKUP(Summary!M740,Summary!$P$13:$Q$24,2)</f>
        <v>B600-fire</v>
      </c>
      <c r="B741">
        <f>ROUND(NORMINV(Summary!M742,VLOOKUP(A741,Summary!$Q$13:$S$24,3,FALSE),VLOOKUP(A741,Summary!$Q$13:$S$24,3,FALSE)/6),-1)</f>
        <v>410</v>
      </c>
      <c r="C741" t="str">
        <f>IF(AND(H741=0,C740=Summary!$P$2),Summary!$Q$2,IF(AND(H741=0,C740=Summary!$Q$2),Summary!$R$2,C740))</f>
        <v>Reed</v>
      </c>
      <c r="D741" t="str">
        <f>IF(C741=Summary!$P$26,VLOOKUP(Summary!M748,Summary!$Q$26:$R$27,2),IF('Run Data'!C741=Summary!$P$28,VLOOKUP(Summary!M748,Summary!$Q$28:$R$29,2),VLOOKUP(Summary!M748,Summary!$Q$30:$R$32,2)))</f>
        <v>Sprig 2</v>
      </c>
      <c r="E741" t="str">
        <f>VLOOKUP(Summary!M751,Summary!$P$42:$Q$43,2)</f>
        <v>87b</v>
      </c>
      <c r="F741">
        <f>IF(LEFT(A741,3)="B60",20,IF(LEFT(A741,3)="B12",30,25))+B741*0.5+INT(Summary!M754*20)</f>
        <v>231</v>
      </c>
      <c r="G741">
        <f>ROUND(IF(OR(ISERROR(FIND(Summary!$P$89,CONCATENATE(C741,D741,E741))),ISERROR(FIND(Summary!$Q$89,A741))),Summary!$R$45,IF(H741&gt;Summary!$V$3,Summary!$R$46,Summary!$R$45))*(B741+30),0)</f>
        <v>4</v>
      </c>
      <c r="H741">
        <f>IF(H740&gt;Summary!$V$4,0,H740+F740)</f>
        <v>87385</v>
      </c>
      <c r="I741" s="26">
        <f>DATE(YEAR(Summary!$V$2),MONTH(Summary!$V$2),DAY(Summary!$V$2)+INT(H741/480))</f>
        <v>43772</v>
      </c>
      <c r="J741" s="27">
        <f t="shared" si="12"/>
        <v>0.35069444444444442</v>
      </c>
    </row>
    <row r="742" spans="1:10">
      <c r="A742" t="str">
        <f>VLOOKUP(Summary!M741,Summary!$P$13:$Q$24,2)</f>
        <v>B1700-fire</v>
      </c>
      <c r="B742">
        <f>ROUND(NORMINV(Summary!M743,VLOOKUP(A742,Summary!$Q$13:$S$24,3,FALSE),VLOOKUP(A742,Summary!$Q$13:$S$24,3,FALSE)/6),-1)</f>
        <v>560</v>
      </c>
      <c r="C742" t="str">
        <f>IF(AND(H742=0,C741=Summary!$P$2),Summary!$Q$2,IF(AND(H742=0,C741=Summary!$Q$2),Summary!$R$2,C741))</f>
        <v>Reed</v>
      </c>
      <c r="D742" t="str">
        <f>IF(C742=Summary!$P$26,VLOOKUP(Summary!M749,Summary!$Q$26:$R$27,2),IF('Run Data'!C742=Summary!$P$28,VLOOKUP(Summary!M749,Summary!$Q$28:$R$29,2),VLOOKUP(Summary!M749,Summary!$Q$30:$R$32,2)))</f>
        <v>Sprig 4</v>
      </c>
      <c r="E742" t="str">
        <f>VLOOKUP(Summary!M752,Summary!$P$42:$Q$43,2)</f>
        <v>86</v>
      </c>
      <c r="F742">
        <f>IF(LEFT(A742,3)="B60",20,IF(LEFT(A742,3)="B12",30,25))+B742*0.5+INT(Summary!M755*20)</f>
        <v>310</v>
      </c>
      <c r="G742">
        <f>ROUND(IF(OR(ISERROR(FIND(Summary!$P$89,CONCATENATE(C742,D742,E742))),ISERROR(FIND(Summary!$Q$89,A742))),Summary!$R$45,IF(H742&gt;Summary!$V$3,Summary!$R$46,Summary!$R$45))*(B742+30),0)</f>
        <v>71</v>
      </c>
      <c r="H742">
        <f>IF(H741&gt;Summary!$V$4,0,H741+F741)</f>
        <v>87616</v>
      </c>
      <c r="I742" s="26">
        <f>DATE(YEAR(Summary!$V$2),MONTH(Summary!$V$2),DAY(Summary!$V$2)+INT(H742/480))</f>
        <v>43772</v>
      </c>
      <c r="J742" s="27">
        <f t="shared" si="12"/>
        <v>0.51111111111111118</v>
      </c>
    </row>
    <row r="743" spans="1:10">
      <c r="A743" t="str">
        <f>VLOOKUP(Summary!M742,Summary!$P$13:$Q$24,2)</f>
        <v>B1200-fire</v>
      </c>
      <c r="B743">
        <f>ROUND(NORMINV(Summary!M744,VLOOKUP(A743,Summary!$Q$13:$S$24,3,FALSE),VLOOKUP(A743,Summary!$Q$13:$S$24,3,FALSE)/6),-1)</f>
        <v>1030</v>
      </c>
      <c r="C743" t="str">
        <f>IF(AND(H743=0,C742=Summary!$P$2),Summary!$Q$2,IF(AND(H743=0,C742=Summary!$Q$2),Summary!$R$2,C742))</f>
        <v>Reed</v>
      </c>
      <c r="D743" t="str">
        <f>IF(C743=Summary!$P$26,VLOOKUP(Summary!M750,Summary!$Q$26:$R$27,2),IF('Run Data'!C743=Summary!$P$28,VLOOKUP(Summary!M750,Summary!$Q$28:$R$29,2),VLOOKUP(Summary!M750,Summary!$Q$30:$R$32,2)))</f>
        <v>Sprig 2</v>
      </c>
      <c r="E743" t="str">
        <f>VLOOKUP(Summary!M753,Summary!$P$42:$Q$43,2)</f>
        <v>86</v>
      </c>
      <c r="F743">
        <f>IF(LEFT(A743,3)="B60",20,IF(LEFT(A743,3)="B12",30,25))+B743*0.5+INT(Summary!M756*20)</f>
        <v>559</v>
      </c>
      <c r="G743">
        <f>ROUND(IF(OR(ISERROR(FIND(Summary!$P$89,CONCATENATE(C743,D743,E743))),ISERROR(FIND(Summary!$Q$89,A743))),Summary!$R$45,IF(H743&gt;Summary!$V$3,Summary!$R$46,Summary!$R$45))*(B743+30),0)</f>
        <v>11</v>
      </c>
      <c r="H743">
        <f>IF(H742&gt;Summary!$V$4,0,H742+F742)</f>
        <v>87926</v>
      </c>
      <c r="I743" s="26">
        <f>DATE(YEAR(Summary!$V$2),MONTH(Summary!$V$2),DAY(Summary!$V$2)+INT(H743/480))</f>
        <v>43773</v>
      </c>
      <c r="J743" s="27">
        <f t="shared" si="12"/>
        <v>0.39305555555555555</v>
      </c>
    </row>
    <row r="744" spans="1:10">
      <c r="A744" t="str">
        <f>VLOOKUP(Summary!M743,Summary!$P$13:$Q$24,2)</f>
        <v>B600-sky</v>
      </c>
      <c r="B744">
        <f>ROUND(NORMINV(Summary!M745,VLOOKUP(A744,Summary!$Q$13:$S$24,3,FALSE),VLOOKUP(A744,Summary!$Q$13:$S$24,3,FALSE)/6),-1)</f>
        <v>530</v>
      </c>
      <c r="C744" t="str">
        <f>IF(AND(H744=0,C743=Summary!$P$2),Summary!$Q$2,IF(AND(H744=0,C743=Summary!$Q$2),Summary!$R$2,C743))</f>
        <v>Reed</v>
      </c>
      <c r="D744" t="str">
        <f>IF(C744=Summary!$P$26,VLOOKUP(Summary!M751,Summary!$Q$26:$R$27,2),IF('Run Data'!C744=Summary!$P$28,VLOOKUP(Summary!M751,Summary!$Q$28:$R$29,2),VLOOKUP(Summary!M751,Summary!$Q$30:$R$32,2)))</f>
        <v>Sprig 4</v>
      </c>
      <c r="E744" t="str">
        <f>VLOOKUP(Summary!M754,Summary!$P$42:$Q$43,2)</f>
        <v>86</v>
      </c>
      <c r="F744">
        <f>IF(LEFT(A744,3)="B60",20,IF(LEFT(A744,3)="B12",30,25))+B744*0.5+INT(Summary!M757*20)</f>
        <v>297</v>
      </c>
      <c r="G744">
        <f>ROUND(IF(OR(ISERROR(FIND(Summary!$P$89,CONCATENATE(C744,D744,E744))),ISERROR(FIND(Summary!$Q$89,A744))),Summary!$R$45,IF(H744&gt;Summary!$V$3,Summary!$R$46,Summary!$R$45))*(B744+30),0)</f>
        <v>6</v>
      </c>
      <c r="H744">
        <f>IF(H743&gt;Summary!$V$4,0,H743+F743)</f>
        <v>88485</v>
      </c>
      <c r="I744" s="26">
        <f>DATE(YEAR(Summary!$V$2),MONTH(Summary!$V$2),DAY(Summary!$V$2)+INT(H744/480))</f>
        <v>43774</v>
      </c>
      <c r="J744" s="27">
        <f t="shared" si="12"/>
        <v>0.44791666666666669</v>
      </c>
    </row>
    <row r="745" spans="1:10">
      <c r="A745" t="str">
        <f>VLOOKUP(Summary!M744,Summary!$P$13:$Q$24,2)</f>
        <v>B600-lime</v>
      </c>
      <c r="B745">
        <f>ROUND(NORMINV(Summary!M746,VLOOKUP(A745,Summary!$Q$13:$S$24,3,FALSE),VLOOKUP(A745,Summary!$Q$13:$S$24,3,FALSE)/6),-1)</f>
        <v>330</v>
      </c>
      <c r="C745" t="str">
        <f>IF(AND(H745=0,C744=Summary!$P$2),Summary!$Q$2,IF(AND(H745=0,C744=Summary!$Q$2),Summary!$R$2,C744))</f>
        <v>Reed</v>
      </c>
      <c r="D745" t="str">
        <f>IF(C745=Summary!$P$26,VLOOKUP(Summary!M752,Summary!$Q$26:$R$27,2),IF('Run Data'!C745=Summary!$P$28,VLOOKUP(Summary!M752,Summary!$Q$28:$R$29,2),VLOOKUP(Summary!M752,Summary!$Q$30:$R$32,2)))</f>
        <v>Sprig 2</v>
      </c>
      <c r="E745" t="str">
        <f>VLOOKUP(Summary!M755,Summary!$P$42:$Q$43,2)</f>
        <v>86</v>
      </c>
      <c r="F745">
        <f>IF(LEFT(A745,3)="B60",20,IF(LEFT(A745,3)="B12",30,25))+B745*0.5+INT(Summary!M758*20)</f>
        <v>204</v>
      </c>
      <c r="G745">
        <f>ROUND(IF(OR(ISERROR(FIND(Summary!$P$89,CONCATENATE(C745,D745,E745))),ISERROR(FIND(Summary!$Q$89,A745))),Summary!$R$45,IF(H745&gt;Summary!$V$3,Summary!$R$46,Summary!$R$45))*(B745+30),0)</f>
        <v>4</v>
      </c>
      <c r="H745">
        <f>IF(H744&gt;Summary!$V$4,0,H744+F744)</f>
        <v>88782</v>
      </c>
      <c r="I745" s="26">
        <f>DATE(YEAR(Summary!$V$2),MONTH(Summary!$V$2),DAY(Summary!$V$2)+INT(H745/480))</f>
        <v>43774</v>
      </c>
      <c r="J745" s="27">
        <f t="shared" si="12"/>
        <v>0.65416666666666667</v>
      </c>
    </row>
    <row r="746" spans="1:10">
      <c r="A746" t="str">
        <f>VLOOKUP(Summary!M745,Summary!$P$13:$Q$24,2)</f>
        <v>B1200-lime</v>
      </c>
      <c r="B746">
        <f>ROUND(NORMINV(Summary!M747,VLOOKUP(A746,Summary!$Q$13:$S$24,3,FALSE),VLOOKUP(A746,Summary!$Q$13:$S$24,3,FALSE)/6),-1)</f>
        <v>760</v>
      </c>
      <c r="C746" t="str">
        <f>IF(AND(H746=0,C745=Summary!$P$2),Summary!$Q$2,IF(AND(H746=0,C745=Summary!$Q$2),Summary!$R$2,C745))</f>
        <v>Reed</v>
      </c>
      <c r="D746" t="str">
        <f>IF(C746=Summary!$P$26,VLOOKUP(Summary!M753,Summary!$Q$26:$R$27,2),IF('Run Data'!C746=Summary!$P$28,VLOOKUP(Summary!M753,Summary!$Q$28:$R$29,2),VLOOKUP(Summary!M753,Summary!$Q$30:$R$32,2)))</f>
        <v>Sprig 2</v>
      </c>
      <c r="E746" t="str">
        <f>VLOOKUP(Summary!M756,Summary!$P$42:$Q$43,2)</f>
        <v>86</v>
      </c>
      <c r="F746">
        <f>IF(LEFT(A746,3)="B60",20,IF(LEFT(A746,3)="B12",30,25))+B746*0.5+INT(Summary!M759*20)</f>
        <v>415</v>
      </c>
      <c r="G746">
        <f>ROUND(IF(OR(ISERROR(FIND(Summary!$P$89,CONCATENATE(C746,D746,E746))),ISERROR(FIND(Summary!$Q$89,A746))),Summary!$R$45,IF(H746&gt;Summary!$V$3,Summary!$R$46,Summary!$R$45))*(B746+30),0)</f>
        <v>8</v>
      </c>
      <c r="H746">
        <f>IF(H745&gt;Summary!$V$4,0,H745+F745)</f>
        <v>88986</v>
      </c>
      <c r="I746" s="26">
        <f>DATE(YEAR(Summary!$V$2),MONTH(Summary!$V$2),DAY(Summary!$V$2)+INT(H746/480))</f>
        <v>43775</v>
      </c>
      <c r="J746" s="27">
        <f t="shared" si="12"/>
        <v>0.46249999999999997</v>
      </c>
    </row>
    <row r="747" spans="1:10">
      <c r="A747" t="str">
        <f>VLOOKUP(Summary!M746,Summary!$P$13:$Q$24,2)</f>
        <v>B1700-plum</v>
      </c>
      <c r="B747">
        <f>ROUND(NORMINV(Summary!M748,VLOOKUP(A747,Summary!$Q$13:$S$24,3,FALSE),VLOOKUP(A747,Summary!$Q$13:$S$24,3,FALSE)/6),-1)</f>
        <v>310</v>
      </c>
      <c r="C747" t="str">
        <f>IF(AND(H747=0,C746=Summary!$P$2),Summary!$Q$2,IF(AND(H747=0,C746=Summary!$Q$2),Summary!$R$2,C746))</f>
        <v>Reed</v>
      </c>
      <c r="D747" t="str">
        <f>IF(C747=Summary!$P$26,VLOOKUP(Summary!M754,Summary!$Q$26:$R$27,2),IF('Run Data'!C747=Summary!$P$28,VLOOKUP(Summary!M754,Summary!$Q$28:$R$29,2),VLOOKUP(Summary!M754,Summary!$Q$30:$R$32,2)))</f>
        <v>Sprig 2</v>
      </c>
      <c r="E747" t="str">
        <f>VLOOKUP(Summary!M757,Summary!$P$42:$Q$43,2)</f>
        <v>86</v>
      </c>
      <c r="F747">
        <f>IF(LEFT(A747,3)="B60",20,IF(LEFT(A747,3)="B12",30,25))+B747*0.5+INT(Summary!M760*20)</f>
        <v>193</v>
      </c>
      <c r="G747">
        <f>ROUND(IF(OR(ISERROR(FIND(Summary!$P$89,CONCATENATE(C747,D747,E747))),ISERROR(FIND(Summary!$Q$89,A747))),Summary!$R$45,IF(H747&gt;Summary!$V$3,Summary!$R$46,Summary!$R$45))*(B747+30),0)</f>
        <v>41</v>
      </c>
      <c r="H747">
        <f>IF(H746&gt;Summary!$V$4,0,H746+F746)</f>
        <v>89401</v>
      </c>
      <c r="I747" s="26">
        <f>DATE(YEAR(Summary!$V$2),MONTH(Summary!$V$2),DAY(Summary!$V$2)+INT(H747/480))</f>
        <v>43776</v>
      </c>
      <c r="J747" s="27">
        <f t="shared" si="12"/>
        <v>0.41736111111111113</v>
      </c>
    </row>
    <row r="748" spans="1:10">
      <c r="A748" t="str">
        <f>VLOOKUP(Summary!M747,Summary!$P$13:$Q$24,2)</f>
        <v>B1200-sky</v>
      </c>
      <c r="B748">
        <f>ROUND(NORMINV(Summary!M749,VLOOKUP(A748,Summary!$Q$13:$S$24,3,FALSE),VLOOKUP(A748,Summary!$Q$13:$S$24,3,FALSE)/6),-1)</f>
        <v>1670</v>
      </c>
      <c r="C748" t="str">
        <f>IF(AND(H748=0,C747=Summary!$P$2),Summary!$Q$2,IF(AND(H748=0,C747=Summary!$Q$2),Summary!$R$2,C747))</f>
        <v>Reed</v>
      </c>
      <c r="D748" t="str">
        <f>IF(C748=Summary!$P$26,VLOOKUP(Summary!M755,Summary!$Q$26:$R$27,2),IF('Run Data'!C748=Summary!$P$28,VLOOKUP(Summary!M755,Summary!$Q$28:$R$29,2),VLOOKUP(Summary!M755,Summary!$Q$30:$R$32,2)))</f>
        <v>Sprig 2</v>
      </c>
      <c r="E748" t="str">
        <f>VLOOKUP(Summary!M758,Summary!$P$42:$Q$43,2)</f>
        <v>87b</v>
      </c>
      <c r="F748">
        <f>IF(LEFT(A748,3)="B60",20,IF(LEFT(A748,3)="B12",30,25))+B748*0.5+INT(Summary!M761*20)</f>
        <v>881</v>
      </c>
      <c r="G748">
        <f>ROUND(IF(OR(ISERROR(FIND(Summary!$P$89,CONCATENATE(C748,D748,E748))),ISERROR(FIND(Summary!$Q$89,A748))),Summary!$R$45,IF(H748&gt;Summary!$V$3,Summary!$R$46,Summary!$R$45))*(B748+30),0)</f>
        <v>17</v>
      </c>
      <c r="H748">
        <f>IF(H747&gt;Summary!$V$4,0,H747+F747)</f>
        <v>89594</v>
      </c>
      <c r="I748" s="26">
        <f>DATE(YEAR(Summary!$V$2),MONTH(Summary!$V$2),DAY(Summary!$V$2)+INT(H748/480))</f>
        <v>43776</v>
      </c>
      <c r="J748" s="27">
        <f t="shared" si="12"/>
        <v>0.55138888888888882</v>
      </c>
    </row>
    <row r="749" spans="1:10">
      <c r="A749" t="str">
        <f>VLOOKUP(Summary!M748,Summary!$P$13:$Q$24,2)</f>
        <v>B1200-lime</v>
      </c>
      <c r="B749">
        <f>ROUND(NORMINV(Summary!M750,VLOOKUP(A749,Summary!$Q$13:$S$24,3,FALSE),VLOOKUP(A749,Summary!$Q$13:$S$24,3,FALSE)/6),-1)</f>
        <v>760</v>
      </c>
      <c r="C749" t="str">
        <f>IF(AND(H749=0,C748=Summary!$P$2),Summary!$Q$2,IF(AND(H749=0,C748=Summary!$Q$2),Summary!$R$2,C748))</f>
        <v>Reed</v>
      </c>
      <c r="D749" t="str">
        <f>IF(C749=Summary!$P$26,VLOOKUP(Summary!M756,Summary!$Q$26:$R$27,2),IF('Run Data'!C749=Summary!$P$28,VLOOKUP(Summary!M756,Summary!$Q$28:$R$29,2),VLOOKUP(Summary!M756,Summary!$Q$30:$R$32,2)))</f>
        <v>Sprig 2</v>
      </c>
      <c r="E749" t="str">
        <f>VLOOKUP(Summary!M759,Summary!$P$42:$Q$43,2)</f>
        <v>86</v>
      </c>
      <c r="F749">
        <f>IF(LEFT(A749,3)="B60",20,IF(LEFT(A749,3)="B12",30,25))+B749*0.5+INT(Summary!M762*20)</f>
        <v>417</v>
      </c>
      <c r="G749">
        <f>ROUND(IF(OR(ISERROR(FIND(Summary!$P$89,CONCATENATE(C749,D749,E749))),ISERROR(FIND(Summary!$Q$89,A749))),Summary!$R$45,IF(H749&gt;Summary!$V$3,Summary!$R$46,Summary!$R$45))*(B749+30),0)</f>
        <v>8</v>
      </c>
      <c r="H749">
        <f>IF(H748&gt;Summary!$V$4,0,H748+F748)</f>
        <v>90475</v>
      </c>
      <c r="I749" s="26">
        <f>DATE(YEAR(Summary!$V$2),MONTH(Summary!$V$2),DAY(Summary!$V$2)+INT(H749/480))</f>
        <v>43778</v>
      </c>
      <c r="J749" s="27">
        <f t="shared" si="12"/>
        <v>0.49652777777777773</v>
      </c>
    </row>
    <row r="750" spans="1:10">
      <c r="A750" t="str">
        <f>VLOOKUP(Summary!M749,Summary!$P$13:$Q$24,2)</f>
        <v>B1700-lime</v>
      </c>
      <c r="B750">
        <f>ROUND(NORMINV(Summary!M751,VLOOKUP(A750,Summary!$Q$13:$S$24,3,FALSE),VLOOKUP(A750,Summary!$Q$13:$S$24,3,FALSE)/6),-1)</f>
        <v>510</v>
      </c>
      <c r="C750" t="str">
        <f>IF(AND(H750=0,C749=Summary!$P$2),Summary!$Q$2,IF(AND(H750=0,C749=Summary!$Q$2),Summary!$R$2,C749))</f>
        <v>Reed</v>
      </c>
      <c r="D750" t="str">
        <f>IF(C750=Summary!$P$26,VLOOKUP(Summary!M757,Summary!$Q$26:$R$27,2),IF('Run Data'!C750=Summary!$P$28,VLOOKUP(Summary!M757,Summary!$Q$28:$R$29,2),VLOOKUP(Summary!M757,Summary!$Q$30:$R$32,2)))</f>
        <v>Sprig 2</v>
      </c>
      <c r="E750" t="str">
        <f>VLOOKUP(Summary!M760,Summary!$P$42:$Q$43,2)</f>
        <v>86</v>
      </c>
      <c r="F750">
        <f>IF(LEFT(A750,3)="B60",20,IF(LEFT(A750,3)="B12",30,25))+B750*0.5+INT(Summary!M763*20)</f>
        <v>286</v>
      </c>
      <c r="G750">
        <f>ROUND(IF(OR(ISERROR(FIND(Summary!$P$89,CONCATENATE(C750,D750,E750))),ISERROR(FIND(Summary!$Q$89,A750))),Summary!$R$45,IF(H750&gt;Summary!$V$3,Summary!$R$46,Summary!$R$45))*(B750+30),0)</f>
        <v>65</v>
      </c>
      <c r="H750">
        <f>IF(H749&gt;Summary!$V$4,0,H749+F749)</f>
        <v>90892</v>
      </c>
      <c r="I750" s="26">
        <f>DATE(YEAR(Summary!$V$2),MONTH(Summary!$V$2),DAY(Summary!$V$2)+INT(H750/480))</f>
        <v>43779</v>
      </c>
      <c r="J750" s="27">
        <f t="shared" si="12"/>
        <v>0.45277777777777778</v>
      </c>
    </row>
    <row r="751" spans="1:10">
      <c r="A751" t="str">
        <f>VLOOKUP(Summary!M750,Summary!$P$13:$Q$24,2)</f>
        <v>B1200-sky</v>
      </c>
      <c r="B751">
        <f>ROUND(NORMINV(Summary!M752,VLOOKUP(A751,Summary!$Q$13:$S$24,3,FALSE),VLOOKUP(A751,Summary!$Q$13:$S$24,3,FALSE)/6),-1)</f>
        <v>1330</v>
      </c>
      <c r="C751" t="str">
        <f>IF(AND(H751=0,C750=Summary!$P$2),Summary!$Q$2,IF(AND(H751=0,C750=Summary!$Q$2),Summary!$R$2,C750))</f>
        <v>Reed</v>
      </c>
      <c r="D751" t="str">
        <f>IF(C751=Summary!$P$26,VLOOKUP(Summary!M758,Summary!$Q$26:$R$27,2),IF('Run Data'!C751=Summary!$P$28,VLOOKUP(Summary!M758,Summary!$Q$28:$R$29,2),VLOOKUP(Summary!M758,Summary!$Q$30:$R$32,2)))</f>
        <v>Sprig 4</v>
      </c>
      <c r="E751" t="str">
        <f>VLOOKUP(Summary!M761,Summary!$P$42:$Q$43,2)</f>
        <v>86</v>
      </c>
      <c r="F751">
        <f>IF(LEFT(A751,3)="B60",20,IF(LEFT(A751,3)="B12",30,25))+B751*0.5+INT(Summary!M764*20)</f>
        <v>705</v>
      </c>
      <c r="G751">
        <f>ROUND(IF(OR(ISERROR(FIND(Summary!$P$89,CONCATENATE(C751,D751,E751))),ISERROR(FIND(Summary!$Q$89,A751))),Summary!$R$45,IF(H751&gt;Summary!$V$3,Summary!$R$46,Summary!$R$45))*(B751+30),0)</f>
        <v>14</v>
      </c>
      <c r="H751">
        <f>IF(H750&gt;Summary!$V$4,0,H750+F750)</f>
        <v>91178</v>
      </c>
      <c r="I751" s="26">
        <f>DATE(YEAR(Summary!$V$2),MONTH(Summary!$V$2),DAY(Summary!$V$2)+INT(H751/480))</f>
        <v>43779</v>
      </c>
      <c r="J751" s="27">
        <f t="shared" si="12"/>
        <v>0.65138888888888891</v>
      </c>
    </row>
    <row r="752" spans="1:10">
      <c r="A752" t="str">
        <f>VLOOKUP(Summary!M751,Summary!$P$13:$Q$24,2)</f>
        <v>B1700-lime</v>
      </c>
      <c r="B752">
        <f>ROUND(NORMINV(Summary!M753,VLOOKUP(A752,Summary!$Q$13:$S$24,3,FALSE),VLOOKUP(A752,Summary!$Q$13:$S$24,3,FALSE)/6),-1)</f>
        <v>380</v>
      </c>
      <c r="C752" t="str">
        <f>IF(AND(H752=0,C751=Summary!$P$2),Summary!$Q$2,IF(AND(H752=0,C751=Summary!$Q$2),Summary!$R$2,C751))</f>
        <v>Reed</v>
      </c>
      <c r="D752" t="str">
        <f>IF(C752=Summary!$P$26,VLOOKUP(Summary!M759,Summary!$Q$26:$R$27,2),IF('Run Data'!C752=Summary!$P$28,VLOOKUP(Summary!M759,Summary!$Q$28:$R$29,2),VLOOKUP(Summary!M759,Summary!$Q$30:$R$32,2)))</f>
        <v>Sprig 2</v>
      </c>
      <c r="E752" t="str">
        <f>VLOOKUP(Summary!M762,Summary!$P$42:$Q$43,2)</f>
        <v>86</v>
      </c>
      <c r="F752">
        <f>IF(LEFT(A752,3)="B60",20,IF(LEFT(A752,3)="B12",30,25))+B752*0.5+INT(Summary!M765*20)</f>
        <v>222</v>
      </c>
      <c r="G752">
        <f>ROUND(IF(OR(ISERROR(FIND(Summary!$P$89,CONCATENATE(C752,D752,E752))),ISERROR(FIND(Summary!$Q$89,A752))),Summary!$R$45,IF(H752&gt;Summary!$V$3,Summary!$R$46,Summary!$R$45))*(B752+30),0)</f>
        <v>49</v>
      </c>
      <c r="H752">
        <f>IF(H751&gt;Summary!$V$4,0,H751+F751)</f>
        <v>91883</v>
      </c>
      <c r="I752" s="26">
        <f>DATE(YEAR(Summary!$V$2),MONTH(Summary!$V$2),DAY(Summary!$V$2)+INT(H752/480))</f>
        <v>43781</v>
      </c>
      <c r="J752" s="27">
        <f t="shared" si="12"/>
        <v>0.47430555555555554</v>
      </c>
    </row>
    <row r="753" spans="1:10">
      <c r="A753" t="str">
        <f>VLOOKUP(Summary!M752,Summary!$P$13:$Q$24,2)</f>
        <v>B1700-plum</v>
      </c>
      <c r="B753">
        <f>ROUND(NORMINV(Summary!M754,VLOOKUP(A753,Summary!$Q$13:$S$24,3,FALSE),VLOOKUP(A753,Summary!$Q$13:$S$24,3,FALSE)/6),-1)</f>
        <v>280</v>
      </c>
      <c r="C753" t="str">
        <f>IF(AND(H753=0,C752=Summary!$P$2),Summary!$Q$2,IF(AND(H753=0,C752=Summary!$Q$2),Summary!$R$2,C752))</f>
        <v>Reed</v>
      </c>
      <c r="D753" t="str">
        <f>IF(C753=Summary!$P$26,VLOOKUP(Summary!M760,Summary!$Q$26:$R$27,2),IF('Run Data'!C753=Summary!$P$28,VLOOKUP(Summary!M760,Summary!$Q$28:$R$29,2),VLOOKUP(Summary!M760,Summary!$Q$30:$R$32,2)))</f>
        <v>Sprig 2</v>
      </c>
      <c r="E753" t="str">
        <f>VLOOKUP(Summary!M763,Summary!$P$42:$Q$43,2)</f>
        <v>86</v>
      </c>
      <c r="F753">
        <f>IF(LEFT(A753,3)="B60",20,IF(LEFT(A753,3)="B12",30,25))+B753*0.5+INT(Summary!M766*20)</f>
        <v>175</v>
      </c>
      <c r="G753">
        <f>ROUND(IF(OR(ISERROR(FIND(Summary!$P$89,CONCATENATE(C753,D753,E753))),ISERROR(FIND(Summary!$Q$89,A753))),Summary!$R$45,IF(H753&gt;Summary!$V$3,Summary!$R$46,Summary!$R$45))*(B753+30),0)</f>
        <v>37</v>
      </c>
      <c r="H753">
        <f>IF(H752&gt;Summary!$V$4,0,H752+F752)</f>
        <v>92105</v>
      </c>
      <c r="I753" s="26">
        <f>DATE(YEAR(Summary!$V$2),MONTH(Summary!$V$2),DAY(Summary!$V$2)+INT(H753/480))</f>
        <v>43781</v>
      </c>
      <c r="J753" s="27">
        <f t="shared" si="12"/>
        <v>0.62847222222222221</v>
      </c>
    </row>
    <row r="754" spans="1:10">
      <c r="A754" t="str">
        <f>VLOOKUP(Summary!M753,Summary!$P$13:$Q$24,2)</f>
        <v>B1200-sky</v>
      </c>
      <c r="B754">
        <f>ROUND(NORMINV(Summary!M755,VLOOKUP(A754,Summary!$Q$13:$S$24,3,FALSE),VLOOKUP(A754,Summary!$Q$13:$S$24,3,FALSE)/6),-1)</f>
        <v>1090</v>
      </c>
      <c r="C754" t="str">
        <f>IF(AND(H754=0,C753=Summary!$P$2),Summary!$Q$2,IF(AND(H754=0,C753=Summary!$Q$2),Summary!$R$2,C753))</f>
        <v>Reed</v>
      </c>
      <c r="D754" t="str">
        <f>IF(C754=Summary!$P$26,VLOOKUP(Summary!M761,Summary!$Q$26:$R$27,2),IF('Run Data'!C754=Summary!$P$28,VLOOKUP(Summary!M761,Summary!$Q$28:$R$29,2),VLOOKUP(Summary!M761,Summary!$Q$30:$R$32,2)))</f>
        <v>Sprig 4</v>
      </c>
      <c r="E754" t="str">
        <f>VLOOKUP(Summary!M764,Summary!$P$42:$Q$43,2)</f>
        <v>86</v>
      </c>
      <c r="F754">
        <f>IF(LEFT(A754,3)="B60",20,IF(LEFT(A754,3)="B12",30,25))+B754*0.5+INT(Summary!M767*20)</f>
        <v>587</v>
      </c>
      <c r="G754">
        <f>ROUND(IF(OR(ISERROR(FIND(Summary!$P$89,CONCATENATE(C754,D754,E754))),ISERROR(FIND(Summary!$Q$89,A754))),Summary!$R$45,IF(H754&gt;Summary!$V$3,Summary!$R$46,Summary!$R$45))*(B754+30),0)</f>
        <v>11</v>
      </c>
      <c r="H754">
        <f>IF(H753&gt;Summary!$V$4,0,H753+F753)</f>
        <v>92280</v>
      </c>
      <c r="I754" s="26">
        <f>DATE(YEAR(Summary!$V$2),MONTH(Summary!$V$2),DAY(Summary!$V$2)+INT(H754/480))</f>
        <v>43782</v>
      </c>
      <c r="J754" s="27">
        <f t="shared" si="12"/>
        <v>0.41666666666666669</v>
      </c>
    </row>
    <row r="755" spans="1:10">
      <c r="A755" t="str">
        <f>VLOOKUP(Summary!M754,Summary!$P$13:$Q$24,2)</f>
        <v>B1200-sky</v>
      </c>
      <c r="B755">
        <f>ROUND(NORMINV(Summary!M756,VLOOKUP(A755,Summary!$Q$13:$S$24,3,FALSE),VLOOKUP(A755,Summary!$Q$13:$S$24,3,FALSE)/6),-1)</f>
        <v>1330</v>
      </c>
      <c r="C755" t="str">
        <f>IF(AND(H755=0,C754=Summary!$P$2),Summary!$Q$2,IF(AND(H755=0,C754=Summary!$Q$2),Summary!$R$2,C754))</f>
        <v>Reed</v>
      </c>
      <c r="D755" t="str">
        <f>IF(C755=Summary!$P$26,VLOOKUP(Summary!M762,Summary!$Q$26:$R$27,2),IF('Run Data'!C755=Summary!$P$28,VLOOKUP(Summary!M762,Summary!$Q$28:$R$29,2),VLOOKUP(Summary!M762,Summary!$Q$30:$R$32,2)))</f>
        <v>Sprig 2</v>
      </c>
      <c r="E755" t="str">
        <f>VLOOKUP(Summary!M765,Summary!$P$42:$Q$43,2)</f>
        <v>86</v>
      </c>
      <c r="F755">
        <f>IF(LEFT(A755,3)="B60",20,IF(LEFT(A755,3)="B12",30,25))+B755*0.5+INT(Summary!M768*20)</f>
        <v>710</v>
      </c>
      <c r="G755">
        <f>ROUND(IF(OR(ISERROR(FIND(Summary!$P$89,CONCATENATE(C755,D755,E755))),ISERROR(FIND(Summary!$Q$89,A755))),Summary!$R$45,IF(H755&gt;Summary!$V$3,Summary!$R$46,Summary!$R$45))*(B755+30),0)</f>
        <v>14</v>
      </c>
      <c r="H755">
        <f>IF(H754&gt;Summary!$V$4,0,H754+F754)</f>
        <v>92867</v>
      </c>
      <c r="I755" s="26">
        <f>DATE(YEAR(Summary!$V$2),MONTH(Summary!$V$2),DAY(Summary!$V$2)+INT(H755/480))</f>
        <v>43783</v>
      </c>
      <c r="J755" s="27">
        <f t="shared" si="12"/>
        <v>0.4909722222222222</v>
      </c>
    </row>
    <row r="756" spans="1:10">
      <c r="A756" t="str">
        <f>VLOOKUP(Summary!M755,Summary!$P$13:$Q$24,2)</f>
        <v>B1200-plum</v>
      </c>
      <c r="B756">
        <f>ROUND(NORMINV(Summary!M757,VLOOKUP(A756,Summary!$Q$13:$S$24,3,FALSE),VLOOKUP(A756,Summary!$Q$13:$S$24,3,FALSE)/6),-1)</f>
        <v>470</v>
      </c>
      <c r="C756" t="str">
        <f>IF(AND(H756=0,C755=Summary!$P$2),Summary!$Q$2,IF(AND(H756=0,C755=Summary!$Q$2),Summary!$R$2,C755))</f>
        <v>Reed</v>
      </c>
      <c r="D756" t="str">
        <f>IF(C756=Summary!$P$26,VLOOKUP(Summary!M763,Summary!$Q$26:$R$27,2),IF('Run Data'!C756=Summary!$P$28,VLOOKUP(Summary!M763,Summary!$Q$28:$R$29,2),VLOOKUP(Summary!M763,Summary!$Q$30:$R$32,2)))</f>
        <v>Sprig 2</v>
      </c>
      <c r="E756" t="str">
        <f>VLOOKUP(Summary!M766,Summary!$P$42:$Q$43,2)</f>
        <v>86</v>
      </c>
      <c r="F756">
        <f>IF(LEFT(A756,3)="B60",20,IF(LEFT(A756,3)="B12",30,25))+B756*0.5+INT(Summary!M769*20)</f>
        <v>279</v>
      </c>
      <c r="G756">
        <f>ROUND(IF(OR(ISERROR(FIND(Summary!$P$89,CONCATENATE(C756,D756,E756))),ISERROR(FIND(Summary!$Q$89,A756))),Summary!$R$45,IF(H756&gt;Summary!$V$3,Summary!$R$46,Summary!$R$45))*(B756+30),0)</f>
        <v>5</v>
      </c>
      <c r="H756">
        <f>IF(H755&gt;Summary!$V$4,0,H755+F755)</f>
        <v>93577</v>
      </c>
      <c r="I756" s="26">
        <f>DATE(YEAR(Summary!$V$2),MONTH(Summary!$V$2),DAY(Summary!$V$2)+INT(H756/480))</f>
        <v>43784</v>
      </c>
      <c r="J756" s="27">
        <f t="shared" si="12"/>
        <v>0.65069444444444446</v>
      </c>
    </row>
    <row r="757" spans="1:10">
      <c r="A757" t="str">
        <f>VLOOKUP(Summary!M756,Summary!$P$13:$Q$24,2)</f>
        <v>B1700-plum</v>
      </c>
      <c r="B757">
        <f>ROUND(NORMINV(Summary!M758,VLOOKUP(A757,Summary!$Q$13:$S$24,3,FALSE),VLOOKUP(A757,Summary!$Q$13:$S$24,3,FALSE)/6),-1)</f>
        <v>390</v>
      </c>
      <c r="C757" t="str">
        <f>IF(AND(H757=0,C756=Summary!$P$2),Summary!$Q$2,IF(AND(H757=0,C756=Summary!$Q$2),Summary!$R$2,C756))</f>
        <v>Reed</v>
      </c>
      <c r="D757" t="str">
        <f>IF(C757=Summary!$P$26,VLOOKUP(Summary!M764,Summary!$Q$26:$R$27,2),IF('Run Data'!C757=Summary!$P$28,VLOOKUP(Summary!M764,Summary!$Q$28:$R$29,2),VLOOKUP(Summary!M764,Summary!$Q$30:$R$32,2)))</f>
        <v>Sprig 2</v>
      </c>
      <c r="E757" t="str">
        <f>VLOOKUP(Summary!M767,Summary!$P$42:$Q$43,2)</f>
        <v>86</v>
      </c>
      <c r="F757">
        <f>IF(LEFT(A757,3)="B60",20,IF(LEFT(A757,3)="B12",30,25))+B757*0.5+INT(Summary!M770*20)</f>
        <v>229</v>
      </c>
      <c r="G757">
        <f>ROUND(IF(OR(ISERROR(FIND(Summary!$P$89,CONCATENATE(C757,D757,E757))),ISERROR(FIND(Summary!$Q$89,A757))),Summary!$R$45,IF(H757&gt;Summary!$V$3,Summary!$R$46,Summary!$R$45))*(B757+30),0)</f>
        <v>50</v>
      </c>
      <c r="H757">
        <f>IF(H756&gt;Summary!$V$4,0,H756+F756)</f>
        <v>93856</v>
      </c>
      <c r="I757" s="26">
        <f>DATE(YEAR(Summary!$V$2),MONTH(Summary!$V$2),DAY(Summary!$V$2)+INT(H757/480))</f>
        <v>43785</v>
      </c>
      <c r="J757" s="27">
        <f t="shared" si="12"/>
        <v>0.51111111111111118</v>
      </c>
    </row>
    <row r="758" spans="1:10">
      <c r="A758" t="str">
        <f>VLOOKUP(Summary!M757,Summary!$P$13:$Q$24,2)</f>
        <v>B1200-lime</v>
      </c>
      <c r="B758">
        <f>ROUND(NORMINV(Summary!M759,VLOOKUP(A758,Summary!$Q$13:$S$24,3,FALSE),VLOOKUP(A758,Summary!$Q$13:$S$24,3,FALSE)/6),-1)</f>
        <v>730</v>
      </c>
      <c r="C758" t="str">
        <f>IF(AND(H758=0,C757=Summary!$P$2),Summary!$Q$2,IF(AND(H758=0,C757=Summary!$Q$2),Summary!$R$2,C757))</f>
        <v>Reed</v>
      </c>
      <c r="D758" t="str">
        <f>IF(C758=Summary!$P$26,VLOOKUP(Summary!M765,Summary!$Q$26:$R$27,2),IF('Run Data'!C758=Summary!$P$28,VLOOKUP(Summary!M765,Summary!$Q$28:$R$29,2),VLOOKUP(Summary!M765,Summary!$Q$30:$R$32,2)))</f>
        <v>Sprig 2</v>
      </c>
      <c r="E758" t="str">
        <f>VLOOKUP(Summary!M768,Summary!$P$42:$Q$43,2)</f>
        <v>86</v>
      </c>
      <c r="F758">
        <f>IF(LEFT(A758,3)="B60",20,IF(LEFT(A758,3)="B12",30,25))+B758*0.5+INT(Summary!M771*20)</f>
        <v>400</v>
      </c>
      <c r="G758">
        <f>ROUND(IF(OR(ISERROR(FIND(Summary!$P$89,CONCATENATE(C758,D758,E758))),ISERROR(FIND(Summary!$Q$89,A758))),Summary!$R$45,IF(H758&gt;Summary!$V$3,Summary!$R$46,Summary!$R$45))*(B758+30),0)</f>
        <v>8</v>
      </c>
      <c r="H758">
        <f>IF(H757&gt;Summary!$V$4,0,H757+F757)</f>
        <v>94085</v>
      </c>
      <c r="I758" s="26">
        <f>DATE(YEAR(Summary!$V$2),MONTH(Summary!$V$2),DAY(Summary!$V$2)+INT(H758/480))</f>
        <v>43786</v>
      </c>
      <c r="J758" s="27">
        <f t="shared" si="12"/>
        <v>0.33680555555555558</v>
      </c>
    </row>
    <row r="759" spans="1:10">
      <c r="A759" t="str">
        <f>VLOOKUP(Summary!M758,Summary!$P$13:$Q$24,2)</f>
        <v>B1700-lime</v>
      </c>
      <c r="B759">
        <f>ROUND(NORMINV(Summary!M760,VLOOKUP(A759,Summary!$Q$13:$S$24,3,FALSE),VLOOKUP(A759,Summary!$Q$13:$S$24,3,FALSE)/6),-1)</f>
        <v>430</v>
      </c>
      <c r="C759" t="str">
        <f>IF(AND(H759=0,C758=Summary!$P$2),Summary!$Q$2,IF(AND(H759=0,C758=Summary!$Q$2),Summary!$R$2,C758))</f>
        <v>Reed</v>
      </c>
      <c r="D759" t="str">
        <f>IF(C759=Summary!$P$26,VLOOKUP(Summary!M766,Summary!$Q$26:$R$27,2),IF('Run Data'!C759=Summary!$P$28,VLOOKUP(Summary!M766,Summary!$Q$28:$R$29,2),VLOOKUP(Summary!M766,Summary!$Q$30:$R$32,2)))</f>
        <v>Sprig 2</v>
      </c>
      <c r="E759" t="str">
        <f>VLOOKUP(Summary!M769,Summary!$P$42:$Q$43,2)</f>
        <v>86</v>
      </c>
      <c r="F759">
        <f>IF(LEFT(A759,3)="B60",20,IF(LEFT(A759,3)="B12",30,25))+B759*0.5+INT(Summary!M772*20)</f>
        <v>240</v>
      </c>
      <c r="G759">
        <f>ROUND(IF(OR(ISERROR(FIND(Summary!$P$89,CONCATENATE(C759,D759,E759))),ISERROR(FIND(Summary!$Q$89,A759))),Summary!$R$45,IF(H759&gt;Summary!$V$3,Summary!$R$46,Summary!$R$45))*(B759+30),0)</f>
        <v>55</v>
      </c>
      <c r="H759">
        <f>IF(H758&gt;Summary!$V$4,0,H758+F758)</f>
        <v>94485</v>
      </c>
      <c r="I759" s="26">
        <f>DATE(YEAR(Summary!$V$2),MONTH(Summary!$V$2),DAY(Summary!$V$2)+INT(H759/480))</f>
        <v>43786</v>
      </c>
      <c r="J759" s="27">
        <f t="shared" si="12"/>
        <v>0.61458333333333337</v>
      </c>
    </row>
    <row r="760" spans="1:10">
      <c r="A760" t="str">
        <f>VLOOKUP(Summary!M759,Summary!$P$13:$Q$24,2)</f>
        <v>B1200-plum</v>
      </c>
      <c r="B760">
        <f>ROUND(NORMINV(Summary!M761,VLOOKUP(A760,Summary!$Q$13:$S$24,3,FALSE),VLOOKUP(A760,Summary!$Q$13:$S$24,3,FALSE)/6),-1)</f>
        <v>510</v>
      </c>
      <c r="C760" t="str">
        <f>IF(AND(H760=0,C759=Summary!$P$2),Summary!$Q$2,IF(AND(H760=0,C759=Summary!$Q$2),Summary!$R$2,C759))</f>
        <v>Reed</v>
      </c>
      <c r="D760" t="str">
        <f>IF(C760=Summary!$P$26,VLOOKUP(Summary!M767,Summary!$Q$26:$R$27,2),IF('Run Data'!C760=Summary!$P$28,VLOOKUP(Summary!M767,Summary!$Q$28:$R$29,2),VLOOKUP(Summary!M767,Summary!$Q$30:$R$32,2)))</f>
        <v>Sprig 2</v>
      </c>
      <c r="E760" t="str">
        <f>VLOOKUP(Summary!M770,Summary!$P$42:$Q$43,2)</f>
        <v>86</v>
      </c>
      <c r="F760">
        <f>IF(LEFT(A760,3)="B60",20,IF(LEFT(A760,3)="B12",30,25))+B760*0.5+INT(Summary!M773*20)</f>
        <v>288</v>
      </c>
      <c r="G760">
        <f>ROUND(IF(OR(ISERROR(FIND(Summary!$P$89,CONCATENATE(C760,D760,E760))),ISERROR(FIND(Summary!$Q$89,A760))),Summary!$R$45,IF(H760&gt;Summary!$V$3,Summary!$R$46,Summary!$R$45))*(B760+30),0)</f>
        <v>5</v>
      </c>
      <c r="H760">
        <f>IF(H759&gt;Summary!$V$4,0,H759+F759)</f>
        <v>94725</v>
      </c>
      <c r="I760" s="26">
        <f>DATE(YEAR(Summary!$V$2),MONTH(Summary!$V$2),DAY(Summary!$V$2)+INT(H760/480))</f>
        <v>43787</v>
      </c>
      <c r="J760" s="27">
        <f t="shared" si="12"/>
        <v>0.44791666666666669</v>
      </c>
    </row>
    <row r="761" spans="1:10">
      <c r="A761" t="str">
        <f>VLOOKUP(Summary!M760,Summary!$P$13:$Q$24,2)</f>
        <v>B1200-lime</v>
      </c>
      <c r="B761">
        <f>ROUND(NORMINV(Summary!M762,VLOOKUP(A761,Summary!$Q$13:$S$24,3,FALSE),VLOOKUP(A761,Summary!$Q$13:$S$24,3,FALSE)/6),-1)</f>
        <v>750</v>
      </c>
      <c r="C761" t="str">
        <f>IF(AND(H761=0,C760=Summary!$P$2),Summary!$Q$2,IF(AND(H761=0,C760=Summary!$Q$2),Summary!$R$2,C760))</f>
        <v>Reed</v>
      </c>
      <c r="D761" t="str">
        <f>IF(C761=Summary!$P$26,VLOOKUP(Summary!M768,Summary!$Q$26:$R$27,2),IF('Run Data'!C761=Summary!$P$28,VLOOKUP(Summary!M768,Summary!$Q$28:$R$29,2),VLOOKUP(Summary!M768,Summary!$Q$30:$R$32,2)))</f>
        <v>Sprig 2</v>
      </c>
      <c r="E761" t="str">
        <f>VLOOKUP(Summary!M771,Summary!$P$42:$Q$43,2)</f>
        <v>86</v>
      </c>
      <c r="F761">
        <f>IF(LEFT(A761,3)="B60",20,IF(LEFT(A761,3)="B12",30,25))+B761*0.5+INT(Summary!M774*20)</f>
        <v>408</v>
      </c>
      <c r="G761">
        <f>ROUND(IF(OR(ISERROR(FIND(Summary!$P$89,CONCATENATE(C761,D761,E761))),ISERROR(FIND(Summary!$Q$89,A761))),Summary!$R$45,IF(H761&gt;Summary!$V$3,Summary!$R$46,Summary!$R$45))*(B761+30),0)</f>
        <v>8</v>
      </c>
      <c r="H761">
        <f>IF(H760&gt;Summary!$V$4,0,H760+F760)</f>
        <v>95013</v>
      </c>
      <c r="I761" s="26">
        <f>DATE(YEAR(Summary!$V$2),MONTH(Summary!$V$2),DAY(Summary!$V$2)+INT(H761/480))</f>
        <v>43787</v>
      </c>
      <c r="J761" s="27">
        <f t="shared" si="12"/>
        <v>0.6479166666666667</v>
      </c>
    </row>
    <row r="762" spans="1:10">
      <c r="A762" t="str">
        <f>VLOOKUP(Summary!M761,Summary!$P$13:$Q$24,2)</f>
        <v>B1700-sky</v>
      </c>
      <c r="B762">
        <f>ROUND(NORMINV(Summary!M763,VLOOKUP(A762,Summary!$Q$13:$S$24,3,FALSE),VLOOKUP(A762,Summary!$Q$13:$S$24,3,FALSE)/6),-1)</f>
        <v>510</v>
      </c>
      <c r="C762" t="str">
        <f>IF(AND(H762=0,C761=Summary!$P$2),Summary!$Q$2,IF(AND(H762=0,C761=Summary!$Q$2),Summary!$R$2,C761))</f>
        <v>Reed</v>
      </c>
      <c r="D762" t="str">
        <f>IF(C762=Summary!$P$26,VLOOKUP(Summary!M769,Summary!$Q$26:$R$27,2),IF('Run Data'!C762=Summary!$P$28,VLOOKUP(Summary!M769,Summary!$Q$28:$R$29,2),VLOOKUP(Summary!M769,Summary!$Q$30:$R$32,2)))</f>
        <v>Sprig 2</v>
      </c>
      <c r="E762" t="str">
        <f>VLOOKUP(Summary!M772,Summary!$P$42:$Q$43,2)</f>
        <v>86</v>
      </c>
      <c r="F762">
        <f>IF(LEFT(A762,3)="B60",20,IF(LEFT(A762,3)="B12",30,25))+B762*0.5+INT(Summary!M775*20)</f>
        <v>297</v>
      </c>
      <c r="G762">
        <f>ROUND(IF(OR(ISERROR(FIND(Summary!$P$89,CONCATENATE(C762,D762,E762))),ISERROR(FIND(Summary!$Q$89,A762))),Summary!$R$45,IF(H762&gt;Summary!$V$3,Summary!$R$46,Summary!$R$45))*(B762+30),0)</f>
        <v>65</v>
      </c>
      <c r="H762">
        <f>IF(H761&gt;Summary!$V$4,0,H761+F761)</f>
        <v>95421</v>
      </c>
      <c r="I762" s="26">
        <f>DATE(YEAR(Summary!$V$2),MONTH(Summary!$V$2),DAY(Summary!$V$2)+INT(H762/480))</f>
        <v>43788</v>
      </c>
      <c r="J762" s="27">
        <f t="shared" si="12"/>
        <v>0.59791666666666665</v>
      </c>
    </row>
    <row r="763" spans="1:10">
      <c r="A763" t="str">
        <f>VLOOKUP(Summary!M762,Summary!$P$13:$Q$24,2)</f>
        <v>B1200-sky</v>
      </c>
      <c r="B763">
        <f>ROUND(NORMINV(Summary!M764,VLOOKUP(A763,Summary!$Q$13:$S$24,3,FALSE),VLOOKUP(A763,Summary!$Q$13:$S$24,3,FALSE)/6),-1)</f>
        <v>1200</v>
      </c>
      <c r="C763" t="str">
        <f>IF(AND(H763=0,C762=Summary!$P$2),Summary!$Q$2,IF(AND(H763=0,C762=Summary!$Q$2),Summary!$R$2,C762))</f>
        <v>Reed</v>
      </c>
      <c r="D763" t="str">
        <f>IF(C763=Summary!$P$26,VLOOKUP(Summary!M770,Summary!$Q$26:$R$27,2),IF('Run Data'!C763=Summary!$P$28,VLOOKUP(Summary!M770,Summary!$Q$28:$R$29,2),VLOOKUP(Summary!M770,Summary!$Q$30:$R$32,2)))</f>
        <v>Sprig 2</v>
      </c>
      <c r="E763" t="str">
        <f>VLOOKUP(Summary!M773,Summary!$P$42:$Q$43,2)</f>
        <v>86</v>
      </c>
      <c r="F763">
        <f>IF(LEFT(A763,3)="B60",20,IF(LEFT(A763,3)="B12",30,25))+B763*0.5+INT(Summary!M776*20)</f>
        <v>631</v>
      </c>
      <c r="G763">
        <f>ROUND(IF(OR(ISERROR(FIND(Summary!$P$89,CONCATENATE(C763,D763,E763))),ISERROR(FIND(Summary!$Q$89,A763))),Summary!$R$45,IF(H763&gt;Summary!$V$3,Summary!$R$46,Summary!$R$45))*(B763+30),0)</f>
        <v>12</v>
      </c>
      <c r="H763">
        <f>IF(H762&gt;Summary!$V$4,0,H762+F762)</f>
        <v>95718</v>
      </c>
      <c r="I763" s="26">
        <f>DATE(YEAR(Summary!$V$2),MONTH(Summary!$V$2),DAY(Summary!$V$2)+INT(H763/480))</f>
        <v>43789</v>
      </c>
      <c r="J763" s="27">
        <f t="shared" si="12"/>
        <v>0.47083333333333338</v>
      </c>
    </row>
    <row r="764" spans="1:10">
      <c r="A764" t="str">
        <f>VLOOKUP(Summary!M763,Summary!$P$13:$Q$24,2)</f>
        <v>B1200-sky</v>
      </c>
      <c r="B764">
        <f>ROUND(NORMINV(Summary!M765,VLOOKUP(A764,Summary!$Q$13:$S$24,3,FALSE),VLOOKUP(A764,Summary!$Q$13:$S$24,3,FALSE)/6),-1)</f>
        <v>1140</v>
      </c>
      <c r="C764" t="str">
        <f>IF(AND(H764=0,C763=Summary!$P$2),Summary!$Q$2,IF(AND(H764=0,C763=Summary!$Q$2),Summary!$R$2,C763))</f>
        <v>Reed</v>
      </c>
      <c r="D764" t="str">
        <f>IF(C764=Summary!$P$26,VLOOKUP(Summary!M771,Summary!$Q$26:$R$27,2),IF('Run Data'!C764=Summary!$P$28,VLOOKUP(Summary!M771,Summary!$Q$28:$R$29,2),VLOOKUP(Summary!M771,Summary!$Q$30:$R$32,2)))</f>
        <v>Sprig 2</v>
      </c>
      <c r="E764" t="str">
        <f>VLOOKUP(Summary!M774,Summary!$P$42:$Q$43,2)</f>
        <v>86</v>
      </c>
      <c r="F764">
        <f>IF(LEFT(A764,3)="B60",20,IF(LEFT(A764,3)="B12",30,25))+B764*0.5+INT(Summary!M777*20)</f>
        <v>601</v>
      </c>
      <c r="G764">
        <f>ROUND(IF(OR(ISERROR(FIND(Summary!$P$89,CONCATENATE(C764,D764,E764))),ISERROR(FIND(Summary!$Q$89,A764))),Summary!$R$45,IF(H764&gt;Summary!$V$3,Summary!$R$46,Summary!$R$45))*(B764+30),0)</f>
        <v>12</v>
      </c>
      <c r="H764">
        <f>IF(H763&gt;Summary!$V$4,0,H763+F763)</f>
        <v>96349</v>
      </c>
      <c r="I764" s="26">
        <f>DATE(YEAR(Summary!$V$2),MONTH(Summary!$V$2),DAY(Summary!$V$2)+INT(H764/480))</f>
        <v>43790</v>
      </c>
      <c r="J764" s="27">
        <f t="shared" si="12"/>
        <v>0.5756944444444444</v>
      </c>
    </row>
    <row r="765" spans="1:10">
      <c r="A765" t="str">
        <f>VLOOKUP(Summary!M764,Summary!$P$13:$Q$24,2)</f>
        <v>B1200-fire</v>
      </c>
      <c r="B765">
        <f>ROUND(NORMINV(Summary!M766,VLOOKUP(A765,Summary!$Q$13:$S$24,3,FALSE),VLOOKUP(A765,Summary!$Q$13:$S$24,3,FALSE)/6),-1)</f>
        <v>1220</v>
      </c>
      <c r="C765" t="str">
        <f>IF(AND(H765=0,C764=Summary!$P$2),Summary!$Q$2,IF(AND(H765=0,C764=Summary!$Q$2),Summary!$R$2,C764))</f>
        <v>Reed</v>
      </c>
      <c r="D765" t="str">
        <f>IF(C765=Summary!$P$26,VLOOKUP(Summary!M772,Summary!$Q$26:$R$27,2),IF('Run Data'!C765=Summary!$P$28,VLOOKUP(Summary!M772,Summary!$Q$28:$R$29,2),VLOOKUP(Summary!M772,Summary!$Q$30:$R$32,2)))</f>
        <v>Sprig 2</v>
      </c>
      <c r="E765" t="str">
        <f>VLOOKUP(Summary!M775,Summary!$P$42:$Q$43,2)</f>
        <v>87b</v>
      </c>
      <c r="F765">
        <f>IF(LEFT(A765,3)="B60",20,IF(LEFT(A765,3)="B12",30,25))+B765*0.5+INT(Summary!M778*20)</f>
        <v>653</v>
      </c>
      <c r="G765">
        <f>ROUND(IF(OR(ISERROR(FIND(Summary!$P$89,CONCATENATE(C765,D765,E765))),ISERROR(FIND(Summary!$Q$89,A765))),Summary!$R$45,IF(H765&gt;Summary!$V$3,Summary!$R$46,Summary!$R$45))*(B765+30),0)</f>
        <v>13</v>
      </c>
      <c r="H765">
        <f>IF(H764&gt;Summary!$V$4,0,H764+F764)</f>
        <v>96950</v>
      </c>
      <c r="I765" s="26">
        <f>DATE(YEAR(Summary!$V$2),MONTH(Summary!$V$2),DAY(Summary!$V$2)+INT(H765/480))</f>
        <v>43791</v>
      </c>
      <c r="J765" s="27">
        <f t="shared" si="12"/>
        <v>0.65972222222222221</v>
      </c>
    </row>
    <row r="766" spans="1:10">
      <c r="A766" t="str">
        <f>VLOOKUP(Summary!M765,Summary!$P$13:$Q$24,2)</f>
        <v>B1200-sky</v>
      </c>
      <c r="B766">
        <f>ROUND(NORMINV(Summary!M767,VLOOKUP(A766,Summary!$Q$13:$S$24,3,FALSE),VLOOKUP(A766,Summary!$Q$13:$S$24,3,FALSE)/6),-1)</f>
        <v>1250</v>
      </c>
      <c r="C766" t="str">
        <f>IF(AND(H766=0,C765=Summary!$P$2),Summary!$Q$2,IF(AND(H766=0,C765=Summary!$Q$2),Summary!$R$2,C765))</f>
        <v>Reed</v>
      </c>
      <c r="D766" t="str">
        <f>IF(C766=Summary!$P$26,VLOOKUP(Summary!M773,Summary!$Q$26:$R$27,2),IF('Run Data'!C766=Summary!$P$28,VLOOKUP(Summary!M773,Summary!$Q$28:$R$29,2),VLOOKUP(Summary!M773,Summary!$Q$30:$R$32,2)))</f>
        <v>Sprig 2</v>
      </c>
      <c r="E766" t="str">
        <f>VLOOKUP(Summary!M776,Summary!$P$42:$Q$43,2)</f>
        <v>86</v>
      </c>
      <c r="F766">
        <f>IF(LEFT(A766,3)="B60",20,IF(LEFT(A766,3)="B12",30,25))+B766*0.5+INT(Summary!M779*20)</f>
        <v>655</v>
      </c>
      <c r="G766">
        <f>ROUND(IF(OR(ISERROR(FIND(Summary!$P$89,CONCATENATE(C766,D766,E766))),ISERROR(FIND(Summary!$Q$89,A766))),Summary!$R$45,IF(H766&gt;Summary!$V$3,Summary!$R$46,Summary!$R$45))*(B766+30),0)</f>
        <v>13</v>
      </c>
      <c r="H766">
        <f>IF(H765&gt;Summary!$V$4,0,H765+F765)</f>
        <v>97603</v>
      </c>
      <c r="I766" s="26">
        <f>DATE(YEAR(Summary!$V$2),MONTH(Summary!$V$2),DAY(Summary!$V$2)+INT(H766/480))</f>
        <v>43793</v>
      </c>
      <c r="J766" s="27">
        <f t="shared" si="12"/>
        <v>0.4465277777777778</v>
      </c>
    </row>
    <row r="767" spans="1:10">
      <c r="A767" t="str">
        <f>VLOOKUP(Summary!M766,Summary!$P$13:$Q$24,2)</f>
        <v>B1200-fire</v>
      </c>
      <c r="B767">
        <f>ROUND(NORMINV(Summary!M768,VLOOKUP(A767,Summary!$Q$13:$S$24,3,FALSE),VLOOKUP(A767,Summary!$Q$13:$S$24,3,FALSE)/6),-1)</f>
        <v>1340</v>
      </c>
      <c r="C767" t="str">
        <f>IF(AND(H767=0,C766=Summary!$P$2),Summary!$Q$2,IF(AND(H767=0,C766=Summary!$Q$2),Summary!$R$2,C766))</f>
        <v>Reed</v>
      </c>
      <c r="D767" t="str">
        <f>IF(C767=Summary!$P$26,VLOOKUP(Summary!M774,Summary!$Q$26:$R$27,2),IF('Run Data'!C767=Summary!$P$28,VLOOKUP(Summary!M774,Summary!$Q$28:$R$29,2),VLOOKUP(Summary!M774,Summary!$Q$30:$R$32,2)))</f>
        <v>Sprig 2</v>
      </c>
      <c r="E767" t="str">
        <f>VLOOKUP(Summary!M777,Summary!$P$42:$Q$43,2)</f>
        <v>86</v>
      </c>
      <c r="F767">
        <f>IF(LEFT(A767,3)="B60",20,IF(LEFT(A767,3)="B12",30,25))+B767*0.5+INT(Summary!M780*20)</f>
        <v>703</v>
      </c>
      <c r="G767">
        <f>ROUND(IF(OR(ISERROR(FIND(Summary!$P$89,CONCATENATE(C767,D767,E767))),ISERROR(FIND(Summary!$Q$89,A767))),Summary!$R$45,IF(H767&gt;Summary!$V$3,Summary!$R$46,Summary!$R$45))*(B767+30),0)</f>
        <v>14</v>
      </c>
      <c r="H767">
        <f>IF(H766&gt;Summary!$V$4,0,H766+F766)</f>
        <v>98258</v>
      </c>
      <c r="I767" s="26">
        <f>DATE(YEAR(Summary!$V$2),MONTH(Summary!$V$2),DAY(Summary!$V$2)+INT(H767/480))</f>
        <v>43794</v>
      </c>
      <c r="J767" s="27">
        <f t="shared" si="12"/>
        <v>0.56805555555555554</v>
      </c>
    </row>
    <row r="768" spans="1:10">
      <c r="A768" t="str">
        <f>VLOOKUP(Summary!M767,Summary!$P$13:$Q$24,2)</f>
        <v>B1200-lime</v>
      </c>
      <c r="B768">
        <f>ROUND(NORMINV(Summary!M769,VLOOKUP(A768,Summary!$Q$13:$S$24,3,FALSE),VLOOKUP(A768,Summary!$Q$13:$S$24,3,FALSE)/6),-1)</f>
        <v>870</v>
      </c>
      <c r="C768" t="str">
        <f>IF(AND(H768=0,C767=Summary!$P$2),Summary!$Q$2,IF(AND(H768=0,C767=Summary!$Q$2),Summary!$R$2,C767))</f>
        <v>Reed</v>
      </c>
      <c r="D768" t="str">
        <f>IF(C768=Summary!$P$26,VLOOKUP(Summary!M775,Summary!$Q$26:$R$27,2),IF('Run Data'!C768=Summary!$P$28,VLOOKUP(Summary!M775,Summary!$Q$28:$R$29,2),VLOOKUP(Summary!M775,Summary!$Q$30:$R$32,2)))</f>
        <v>Sprig 4</v>
      </c>
      <c r="E768" t="str">
        <f>VLOOKUP(Summary!M778,Summary!$P$42:$Q$43,2)</f>
        <v>86</v>
      </c>
      <c r="F768">
        <f>IF(LEFT(A768,3)="B60",20,IF(LEFT(A768,3)="B12",30,25))+B768*0.5+INT(Summary!M781*20)</f>
        <v>476</v>
      </c>
      <c r="G768">
        <f>ROUND(IF(OR(ISERROR(FIND(Summary!$P$89,CONCATENATE(C768,D768,E768))),ISERROR(FIND(Summary!$Q$89,A768))),Summary!$R$45,IF(H768&gt;Summary!$V$3,Summary!$R$46,Summary!$R$45))*(B768+30),0)</f>
        <v>9</v>
      </c>
      <c r="H768">
        <f>IF(H767&gt;Summary!$V$4,0,H767+F767)</f>
        <v>98961</v>
      </c>
      <c r="I768" s="26">
        <f>DATE(YEAR(Summary!$V$2),MONTH(Summary!$V$2),DAY(Summary!$V$2)+INT(H768/480))</f>
        <v>43796</v>
      </c>
      <c r="J768" s="27">
        <f t="shared" si="12"/>
        <v>0.38958333333333334</v>
      </c>
    </row>
    <row r="769" spans="1:10">
      <c r="A769" t="str">
        <f>VLOOKUP(Summary!M768,Summary!$P$13:$Q$24,2)</f>
        <v>B1700-plum</v>
      </c>
      <c r="B769">
        <f>ROUND(NORMINV(Summary!M770,VLOOKUP(A769,Summary!$Q$13:$S$24,3,FALSE),VLOOKUP(A769,Summary!$Q$13:$S$24,3,FALSE)/6),-1)</f>
        <v>300</v>
      </c>
      <c r="C769" t="str">
        <f>IF(AND(H769=0,C768=Summary!$P$2),Summary!$Q$2,IF(AND(H769=0,C768=Summary!$Q$2),Summary!$R$2,C768))</f>
        <v>Reed</v>
      </c>
      <c r="D769" t="str">
        <f>IF(C769=Summary!$P$26,VLOOKUP(Summary!M776,Summary!$Q$26:$R$27,2),IF('Run Data'!C769=Summary!$P$28,VLOOKUP(Summary!M776,Summary!$Q$28:$R$29,2),VLOOKUP(Summary!M776,Summary!$Q$30:$R$32,2)))</f>
        <v>Sprig 2</v>
      </c>
      <c r="E769" t="str">
        <f>VLOOKUP(Summary!M779,Summary!$P$42:$Q$43,2)</f>
        <v>86</v>
      </c>
      <c r="F769">
        <f>IF(LEFT(A769,3)="B60",20,IF(LEFT(A769,3)="B12",30,25))+B769*0.5+INT(Summary!M782*20)</f>
        <v>179</v>
      </c>
      <c r="G769">
        <f>ROUND(IF(OR(ISERROR(FIND(Summary!$P$89,CONCATENATE(C769,D769,E769))),ISERROR(FIND(Summary!$Q$89,A769))),Summary!$R$45,IF(H769&gt;Summary!$V$3,Summary!$R$46,Summary!$R$45))*(B769+30),0)</f>
        <v>40</v>
      </c>
      <c r="H769">
        <f>IF(H768&gt;Summary!$V$4,0,H768+F768)</f>
        <v>99437</v>
      </c>
      <c r="I769" s="26">
        <f>DATE(YEAR(Summary!$V$2),MONTH(Summary!$V$2),DAY(Summary!$V$2)+INT(H769/480))</f>
        <v>43797</v>
      </c>
      <c r="J769" s="27">
        <f t="shared" si="12"/>
        <v>0.38680555555555557</v>
      </c>
    </row>
    <row r="770" spans="1:10">
      <c r="A770" t="str">
        <f>VLOOKUP(Summary!M769,Summary!$P$13:$Q$24,2)</f>
        <v>B1700-plum</v>
      </c>
      <c r="B770">
        <f>ROUND(NORMINV(Summary!M771,VLOOKUP(A770,Summary!$Q$13:$S$24,3,FALSE),VLOOKUP(A770,Summary!$Q$13:$S$24,3,FALSE)/6),-1)</f>
        <v>270</v>
      </c>
      <c r="C770" t="str">
        <f>IF(AND(H770=0,C769=Summary!$P$2),Summary!$Q$2,IF(AND(H770=0,C769=Summary!$Q$2),Summary!$R$2,C769))</f>
        <v>Reed</v>
      </c>
      <c r="D770" t="str">
        <f>IF(C770=Summary!$P$26,VLOOKUP(Summary!M777,Summary!$Q$26:$R$27,2),IF('Run Data'!C770=Summary!$P$28,VLOOKUP(Summary!M777,Summary!$Q$28:$R$29,2),VLOOKUP(Summary!M777,Summary!$Q$30:$R$32,2)))</f>
        <v>Sprig 2</v>
      </c>
      <c r="E770" t="str">
        <f>VLOOKUP(Summary!M780,Summary!$P$42:$Q$43,2)</f>
        <v>86</v>
      </c>
      <c r="F770">
        <f>IF(LEFT(A770,3)="B60",20,IF(LEFT(A770,3)="B12",30,25))+B770*0.5+INT(Summary!M783*20)</f>
        <v>163</v>
      </c>
      <c r="G770">
        <f>ROUND(IF(OR(ISERROR(FIND(Summary!$P$89,CONCATENATE(C770,D770,E770))),ISERROR(FIND(Summary!$Q$89,A770))),Summary!$R$45,IF(H770&gt;Summary!$V$3,Summary!$R$46,Summary!$R$45))*(B770+30),0)</f>
        <v>36</v>
      </c>
      <c r="H770">
        <f>IF(H769&gt;Summary!$V$4,0,H769+F769)</f>
        <v>99616</v>
      </c>
      <c r="I770" s="26">
        <f>DATE(YEAR(Summary!$V$2),MONTH(Summary!$V$2),DAY(Summary!$V$2)+INT(H770/480))</f>
        <v>43797</v>
      </c>
      <c r="J770" s="27">
        <f t="shared" si="12"/>
        <v>0.51111111111111118</v>
      </c>
    </row>
    <row r="771" spans="1:10">
      <c r="A771" t="str">
        <f>VLOOKUP(Summary!M770,Summary!$P$13:$Q$24,2)</f>
        <v>B1200-fire</v>
      </c>
      <c r="B771">
        <f>ROUND(NORMINV(Summary!M772,VLOOKUP(A771,Summary!$Q$13:$S$24,3,FALSE),VLOOKUP(A771,Summary!$Q$13:$S$24,3,FALSE)/6),-1)</f>
        <v>800</v>
      </c>
      <c r="C771" t="str">
        <f>IF(AND(H771=0,C770=Summary!$P$2),Summary!$Q$2,IF(AND(H771=0,C770=Summary!$Q$2),Summary!$R$2,C770))</f>
        <v>Reed</v>
      </c>
      <c r="D771" t="str">
        <f>IF(C771=Summary!$P$26,VLOOKUP(Summary!M778,Summary!$Q$26:$R$27,2),IF('Run Data'!C771=Summary!$P$28,VLOOKUP(Summary!M778,Summary!$Q$28:$R$29,2),VLOOKUP(Summary!M778,Summary!$Q$30:$R$32,2)))</f>
        <v>Sprig 2</v>
      </c>
      <c r="E771" t="str">
        <f>VLOOKUP(Summary!M781,Summary!$P$42:$Q$43,2)</f>
        <v>86</v>
      </c>
      <c r="F771">
        <f>IF(LEFT(A771,3)="B60",20,IF(LEFT(A771,3)="B12",30,25))+B771*0.5+INT(Summary!M784*20)</f>
        <v>436</v>
      </c>
      <c r="G771">
        <f>ROUND(IF(OR(ISERROR(FIND(Summary!$P$89,CONCATENATE(C771,D771,E771))),ISERROR(FIND(Summary!$Q$89,A771))),Summary!$R$45,IF(H771&gt;Summary!$V$3,Summary!$R$46,Summary!$R$45))*(B771+30),0)</f>
        <v>8</v>
      </c>
      <c r="H771">
        <f>IF(H770&gt;Summary!$V$4,0,H770+F770)</f>
        <v>99779</v>
      </c>
      <c r="I771" s="26">
        <f>DATE(YEAR(Summary!$V$2),MONTH(Summary!$V$2),DAY(Summary!$V$2)+INT(H771/480))</f>
        <v>43797</v>
      </c>
      <c r="J771" s="27">
        <f t="shared" si="12"/>
        <v>0.62430555555555556</v>
      </c>
    </row>
    <row r="772" spans="1:10">
      <c r="A772" t="str">
        <f>VLOOKUP(Summary!M771,Summary!$P$13:$Q$24,2)</f>
        <v>B1200-plum</v>
      </c>
      <c r="B772">
        <f>ROUND(NORMINV(Summary!M773,VLOOKUP(A772,Summary!$Q$13:$S$24,3,FALSE),VLOOKUP(A772,Summary!$Q$13:$S$24,3,FALSE)/6),-1)</f>
        <v>370</v>
      </c>
      <c r="C772" t="str">
        <f>IF(AND(H772=0,C771=Summary!$P$2),Summary!$Q$2,IF(AND(H772=0,C771=Summary!$Q$2),Summary!$R$2,C771))</f>
        <v>Reed</v>
      </c>
      <c r="D772" t="str">
        <f>IF(C772=Summary!$P$26,VLOOKUP(Summary!M779,Summary!$Q$26:$R$27,2),IF('Run Data'!C772=Summary!$P$28,VLOOKUP(Summary!M779,Summary!$Q$28:$R$29,2),VLOOKUP(Summary!M779,Summary!$Q$30:$R$32,2)))</f>
        <v>Sprig 2</v>
      </c>
      <c r="E772" t="str">
        <f>VLOOKUP(Summary!M782,Summary!$P$42:$Q$43,2)</f>
        <v>86</v>
      </c>
      <c r="F772">
        <f>IF(LEFT(A772,3)="B60",20,IF(LEFT(A772,3)="B12",30,25))+B772*0.5+INT(Summary!M785*20)</f>
        <v>228</v>
      </c>
      <c r="G772">
        <f>ROUND(IF(OR(ISERROR(FIND(Summary!$P$89,CONCATENATE(C772,D772,E772))),ISERROR(FIND(Summary!$Q$89,A772))),Summary!$R$45,IF(H772&gt;Summary!$V$3,Summary!$R$46,Summary!$R$45))*(B772+30),0)</f>
        <v>4</v>
      </c>
      <c r="H772">
        <f>IF(H771&gt;Summary!$V$4,0,H771+F771)</f>
        <v>100215</v>
      </c>
      <c r="I772" s="26">
        <f>DATE(YEAR(Summary!$V$2),MONTH(Summary!$V$2),DAY(Summary!$V$2)+INT(H772/480))</f>
        <v>43798</v>
      </c>
      <c r="J772" s="27">
        <f t="shared" si="12"/>
        <v>0.59375</v>
      </c>
    </row>
    <row r="773" spans="1:10">
      <c r="A773" t="str">
        <f>VLOOKUP(Summary!M772,Summary!$P$13:$Q$24,2)</f>
        <v>B600-plum</v>
      </c>
      <c r="B773">
        <f>ROUND(NORMINV(Summary!M774,VLOOKUP(A773,Summary!$Q$13:$S$24,3,FALSE),VLOOKUP(A773,Summary!$Q$13:$S$24,3,FALSE)/6),-1)</f>
        <v>170</v>
      </c>
      <c r="C773" t="str">
        <f>IF(AND(H773=0,C772=Summary!$P$2),Summary!$Q$2,IF(AND(H773=0,C772=Summary!$Q$2),Summary!$R$2,C772))</f>
        <v>Reed</v>
      </c>
      <c r="D773" t="str">
        <f>IF(C773=Summary!$P$26,VLOOKUP(Summary!M780,Summary!$Q$26:$R$27,2),IF('Run Data'!C773=Summary!$P$28,VLOOKUP(Summary!M780,Summary!$Q$28:$R$29,2),VLOOKUP(Summary!M780,Summary!$Q$30:$R$32,2)))</f>
        <v>Sprig 2</v>
      </c>
      <c r="E773" t="str">
        <f>VLOOKUP(Summary!M783,Summary!$P$42:$Q$43,2)</f>
        <v>86</v>
      </c>
      <c r="F773">
        <f>IF(LEFT(A773,3)="B60",20,IF(LEFT(A773,3)="B12",30,25))+B773*0.5+INT(Summary!M786*20)</f>
        <v>109</v>
      </c>
      <c r="G773">
        <f>ROUND(IF(OR(ISERROR(FIND(Summary!$P$89,CONCATENATE(C773,D773,E773))),ISERROR(FIND(Summary!$Q$89,A773))),Summary!$R$45,IF(H773&gt;Summary!$V$3,Summary!$R$46,Summary!$R$45))*(B773+30),0)</f>
        <v>2</v>
      </c>
      <c r="H773">
        <f>IF(H772&gt;Summary!$V$4,0,H772+F772)</f>
        <v>100443</v>
      </c>
      <c r="I773" s="26">
        <f>DATE(YEAR(Summary!$V$2),MONTH(Summary!$V$2),DAY(Summary!$V$2)+INT(H773/480))</f>
        <v>43799</v>
      </c>
      <c r="J773" s="27">
        <f t="shared" si="12"/>
        <v>0.41875000000000001</v>
      </c>
    </row>
    <row r="774" spans="1:10">
      <c r="A774" t="str">
        <f>VLOOKUP(Summary!M773,Summary!$P$13:$Q$24,2)</f>
        <v>B600-fire</v>
      </c>
      <c r="B774">
        <f>ROUND(NORMINV(Summary!M775,VLOOKUP(A774,Summary!$Q$13:$S$24,3,FALSE),VLOOKUP(A774,Summary!$Q$13:$S$24,3,FALSE)/6),-1)</f>
        <v>480</v>
      </c>
      <c r="C774" t="str">
        <f>IF(AND(H774=0,C773=Summary!$P$2),Summary!$Q$2,IF(AND(H774=0,C773=Summary!$Q$2),Summary!$R$2,C773))</f>
        <v>Reed</v>
      </c>
      <c r="D774" t="str">
        <f>IF(C774=Summary!$P$26,VLOOKUP(Summary!M781,Summary!$Q$26:$R$27,2),IF('Run Data'!C774=Summary!$P$28,VLOOKUP(Summary!M781,Summary!$Q$28:$R$29,2),VLOOKUP(Summary!M781,Summary!$Q$30:$R$32,2)))</f>
        <v>Sprig 2</v>
      </c>
      <c r="E774" t="str">
        <f>VLOOKUP(Summary!M784,Summary!$P$42:$Q$43,2)</f>
        <v>86</v>
      </c>
      <c r="F774">
        <f>IF(LEFT(A774,3)="B60",20,IF(LEFT(A774,3)="B12",30,25))+B774*0.5+INT(Summary!M787*20)</f>
        <v>261</v>
      </c>
      <c r="G774">
        <f>ROUND(IF(OR(ISERROR(FIND(Summary!$P$89,CONCATENATE(C774,D774,E774))),ISERROR(FIND(Summary!$Q$89,A774))),Summary!$R$45,IF(H774&gt;Summary!$V$3,Summary!$R$46,Summary!$R$45))*(B774+30),0)</f>
        <v>5</v>
      </c>
      <c r="H774">
        <f>IF(H773&gt;Summary!$V$4,0,H773+F773)</f>
        <v>100552</v>
      </c>
      <c r="I774" s="26">
        <f>DATE(YEAR(Summary!$V$2),MONTH(Summary!$V$2),DAY(Summary!$V$2)+INT(H774/480))</f>
        <v>43799</v>
      </c>
      <c r="J774" s="27">
        <f t="shared" si="12"/>
        <v>0.49444444444444446</v>
      </c>
    </row>
    <row r="775" spans="1:10">
      <c r="A775" t="str">
        <f>VLOOKUP(Summary!M774,Summary!$P$13:$Q$24,2)</f>
        <v>B600-lime</v>
      </c>
      <c r="B775">
        <f>ROUND(NORMINV(Summary!M776,VLOOKUP(A775,Summary!$Q$13:$S$24,3,FALSE),VLOOKUP(A775,Summary!$Q$13:$S$24,3,FALSE)/6),-1)</f>
        <v>230</v>
      </c>
      <c r="C775" t="str">
        <f>IF(AND(H775=0,C774=Summary!$P$2),Summary!$Q$2,IF(AND(H775=0,C774=Summary!$Q$2),Summary!$R$2,C774))</f>
        <v>Reed</v>
      </c>
      <c r="D775" t="str">
        <f>IF(C775=Summary!$P$26,VLOOKUP(Summary!M782,Summary!$Q$26:$R$27,2),IF('Run Data'!C775=Summary!$P$28,VLOOKUP(Summary!M782,Summary!$Q$28:$R$29,2),VLOOKUP(Summary!M782,Summary!$Q$30:$R$32,2)))</f>
        <v>Sprig 2</v>
      </c>
      <c r="E775" t="str">
        <f>VLOOKUP(Summary!M785,Summary!$P$42:$Q$43,2)</f>
        <v>86</v>
      </c>
      <c r="F775">
        <f>IF(LEFT(A775,3)="B60",20,IF(LEFT(A775,3)="B12",30,25))+B775*0.5+INT(Summary!M788*20)</f>
        <v>140</v>
      </c>
      <c r="G775">
        <f>ROUND(IF(OR(ISERROR(FIND(Summary!$P$89,CONCATENATE(C775,D775,E775))),ISERROR(FIND(Summary!$Q$89,A775))),Summary!$R$45,IF(H775&gt;Summary!$V$3,Summary!$R$46,Summary!$R$45))*(B775+30),0)</f>
        <v>3</v>
      </c>
      <c r="H775">
        <f>IF(H774&gt;Summary!$V$4,0,H774+F774)</f>
        <v>100813</v>
      </c>
      <c r="I775" s="26">
        <f>DATE(YEAR(Summary!$V$2),MONTH(Summary!$V$2),DAY(Summary!$V$2)+INT(H775/480))</f>
        <v>43800</v>
      </c>
      <c r="J775" s="27">
        <f t="shared" si="12"/>
        <v>0.34236111111111112</v>
      </c>
    </row>
    <row r="776" spans="1:10">
      <c r="A776" t="str">
        <f>VLOOKUP(Summary!M775,Summary!$P$13:$Q$24,2)</f>
        <v>B1700-fire</v>
      </c>
      <c r="B776">
        <f>ROUND(NORMINV(Summary!M777,VLOOKUP(A776,Summary!$Q$13:$S$24,3,FALSE),VLOOKUP(A776,Summary!$Q$13:$S$24,3,FALSE)/6),-1)</f>
        <v>580</v>
      </c>
      <c r="C776" t="str">
        <f>IF(AND(H776=0,C775=Summary!$P$2),Summary!$Q$2,IF(AND(H776=0,C775=Summary!$Q$2),Summary!$R$2,C775))</f>
        <v>Reed</v>
      </c>
      <c r="D776" t="str">
        <f>IF(C776=Summary!$P$26,VLOOKUP(Summary!M783,Summary!$Q$26:$R$27,2),IF('Run Data'!C776=Summary!$P$28,VLOOKUP(Summary!M783,Summary!$Q$28:$R$29,2),VLOOKUP(Summary!M783,Summary!$Q$30:$R$32,2)))</f>
        <v>Sprig 2</v>
      </c>
      <c r="E776" t="str">
        <f>VLOOKUP(Summary!M786,Summary!$P$42:$Q$43,2)</f>
        <v>86</v>
      </c>
      <c r="F776">
        <f>IF(LEFT(A776,3)="B60",20,IF(LEFT(A776,3)="B12",30,25))+B776*0.5+INT(Summary!M789*20)</f>
        <v>331</v>
      </c>
      <c r="G776">
        <f>ROUND(IF(OR(ISERROR(FIND(Summary!$P$89,CONCATENATE(C776,D776,E776))),ISERROR(FIND(Summary!$Q$89,A776))),Summary!$R$45,IF(H776&gt;Summary!$V$3,Summary!$R$46,Summary!$R$45))*(B776+30),0)</f>
        <v>73</v>
      </c>
      <c r="H776">
        <f>IF(H775&gt;Summary!$V$4,0,H775+F775)</f>
        <v>100953</v>
      </c>
      <c r="I776" s="26">
        <f>DATE(YEAR(Summary!$V$2),MONTH(Summary!$V$2),DAY(Summary!$V$2)+INT(H776/480))</f>
        <v>43800</v>
      </c>
      <c r="J776" s="27">
        <f t="shared" si="12"/>
        <v>0.43958333333333338</v>
      </c>
    </row>
    <row r="777" spans="1:10">
      <c r="A777" t="str">
        <f>VLOOKUP(Summary!M776,Summary!$P$13:$Q$24,2)</f>
        <v>B600-sky</v>
      </c>
      <c r="B777">
        <f>ROUND(NORMINV(Summary!M778,VLOOKUP(A777,Summary!$Q$13:$S$24,3,FALSE),VLOOKUP(A777,Summary!$Q$13:$S$24,3,FALSE)/6),-1)</f>
        <v>540</v>
      </c>
      <c r="C777" t="str">
        <f>IF(AND(H777=0,C776=Summary!$P$2),Summary!$Q$2,IF(AND(H777=0,C776=Summary!$Q$2),Summary!$R$2,C776))</f>
        <v>Reed</v>
      </c>
      <c r="D777" t="str">
        <f>IF(C777=Summary!$P$26,VLOOKUP(Summary!M784,Summary!$Q$26:$R$27,2),IF('Run Data'!C777=Summary!$P$28,VLOOKUP(Summary!M784,Summary!$Q$28:$R$29,2),VLOOKUP(Summary!M784,Summary!$Q$30:$R$32,2)))</f>
        <v>Sprig 2</v>
      </c>
      <c r="E777" t="str">
        <f>VLOOKUP(Summary!M787,Summary!$P$42:$Q$43,2)</f>
        <v>86</v>
      </c>
      <c r="F777">
        <f>IF(LEFT(A777,3)="B60",20,IF(LEFT(A777,3)="B12",30,25))+B777*0.5+INT(Summary!M790*20)</f>
        <v>292</v>
      </c>
      <c r="G777">
        <f>ROUND(IF(OR(ISERROR(FIND(Summary!$P$89,CONCATENATE(C777,D777,E777))),ISERROR(FIND(Summary!$Q$89,A777))),Summary!$R$45,IF(H777&gt;Summary!$V$3,Summary!$R$46,Summary!$R$45))*(B777+30),0)</f>
        <v>6</v>
      </c>
      <c r="H777">
        <f>IF(H776&gt;Summary!$V$4,0,H776+F776)</f>
        <v>101284</v>
      </c>
      <c r="I777" s="26">
        <f>DATE(YEAR(Summary!$V$2),MONTH(Summary!$V$2),DAY(Summary!$V$2)+INT(H777/480))</f>
        <v>43801</v>
      </c>
      <c r="J777" s="27">
        <f t="shared" si="12"/>
        <v>0.33611111111111108</v>
      </c>
    </row>
    <row r="778" spans="1:10">
      <c r="A778" t="str">
        <f>VLOOKUP(Summary!M777,Summary!$P$13:$Q$24,2)</f>
        <v>B600-sky</v>
      </c>
      <c r="B778">
        <f>ROUND(NORMINV(Summary!M779,VLOOKUP(A778,Summary!$Q$13:$S$24,3,FALSE),VLOOKUP(A778,Summary!$Q$13:$S$24,3,FALSE)/6),-1)</f>
        <v>320</v>
      </c>
      <c r="C778" t="str">
        <f>IF(AND(H778=0,C777=Summary!$P$2),Summary!$Q$2,IF(AND(H778=0,C777=Summary!$Q$2),Summary!$R$2,C777))</f>
        <v>Reed</v>
      </c>
      <c r="D778" t="str">
        <f>IF(C778=Summary!$P$26,VLOOKUP(Summary!M785,Summary!$Q$26:$R$27,2),IF('Run Data'!C778=Summary!$P$28,VLOOKUP(Summary!M785,Summary!$Q$28:$R$29,2),VLOOKUP(Summary!M785,Summary!$Q$30:$R$32,2)))</f>
        <v>Sprig 2</v>
      </c>
      <c r="E778" t="str">
        <f>VLOOKUP(Summary!M788,Summary!$P$42:$Q$43,2)</f>
        <v>86</v>
      </c>
      <c r="F778">
        <f>IF(LEFT(A778,3)="B60",20,IF(LEFT(A778,3)="B12",30,25))+B778*0.5+INT(Summary!M791*20)</f>
        <v>184</v>
      </c>
      <c r="G778">
        <f>ROUND(IF(OR(ISERROR(FIND(Summary!$P$89,CONCATENATE(C778,D778,E778))),ISERROR(FIND(Summary!$Q$89,A778))),Summary!$R$45,IF(H778&gt;Summary!$V$3,Summary!$R$46,Summary!$R$45))*(B778+30),0)</f>
        <v>4</v>
      </c>
      <c r="H778">
        <f>IF(H777&gt;Summary!$V$4,0,H777+F777)</f>
        <v>101576</v>
      </c>
      <c r="I778" s="26">
        <f>DATE(YEAR(Summary!$V$2),MONTH(Summary!$V$2),DAY(Summary!$V$2)+INT(H778/480))</f>
        <v>43801</v>
      </c>
      <c r="J778" s="27">
        <f t="shared" si="12"/>
        <v>0.53888888888888886</v>
      </c>
    </row>
    <row r="779" spans="1:10">
      <c r="A779" t="str">
        <f>VLOOKUP(Summary!M778,Summary!$P$13:$Q$24,2)</f>
        <v>B1200-lime</v>
      </c>
      <c r="B779">
        <f>ROUND(NORMINV(Summary!M780,VLOOKUP(A779,Summary!$Q$13:$S$24,3,FALSE),VLOOKUP(A779,Summary!$Q$13:$S$24,3,FALSE)/6),-1)</f>
        <v>680</v>
      </c>
      <c r="C779" t="str">
        <f>IF(AND(H779=0,C778=Summary!$P$2),Summary!$Q$2,IF(AND(H779=0,C778=Summary!$Q$2),Summary!$R$2,C778))</f>
        <v>Reed</v>
      </c>
      <c r="D779" t="str">
        <f>IF(C779=Summary!$P$26,VLOOKUP(Summary!M786,Summary!$Q$26:$R$27,2),IF('Run Data'!C779=Summary!$P$28,VLOOKUP(Summary!M786,Summary!$Q$28:$R$29,2),VLOOKUP(Summary!M786,Summary!$Q$30:$R$32,2)))</f>
        <v>Sprig 2</v>
      </c>
      <c r="E779" t="str">
        <f>VLOOKUP(Summary!M789,Summary!$P$42:$Q$43,2)</f>
        <v>86</v>
      </c>
      <c r="F779">
        <f>IF(LEFT(A779,3)="B60",20,IF(LEFT(A779,3)="B12",30,25))+B779*0.5+INT(Summary!M792*20)</f>
        <v>384</v>
      </c>
      <c r="G779">
        <f>ROUND(IF(OR(ISERROR(FIND(Summary!$P$89,CONCATENATE(C779,D779,E779))),ISERROR(FIND(Summary!$Q$89,A779))),Summary!$R$45,IF(H779&gt;Summary!$V$3,Summary!$R$46,Summary!$R$45))*(B779+30),0)</f>
        <v>7</v>
      </c>
      <c r="H779">
        <f>IF(H778&gt;Summary!$V$4,0,H778+F778)</f>
        <v>101760</v>
      </c>
      <c r="I779" s="26">
        <f>DATE(YEAR(Summary!$V$2),MONTH(Summary!$V$2),DAY(Summary!$V$2)+INT(H779/480))</f>
        <v>43802</v>
      </c>
      <c r="J779" s="27">
        <f t="shared" si="12"/>
        <v>0.33333333333333331</v>
      </c>
    </row>
    <row r="780" spans="1:10">
      <c r="A780" t="str">
        <f>VLOOKUP(Summary!M779,Summary!$P$13:$Q$24,2)</f>
        <v>B600-plum</v>
      </c>
      <c r="B780">
        <f>ROUND(NORMINV(Summary!M781,VLOOKUP(A780,Summary!$Q$13:$S$24,3,FALSE),VLOOKUP(A780,Summary!$Q$13:$S$24,3,FALSE)/6),-1)</f>
        <v>210</v>
      </c>
      <c r="C780" t="str">
        <f>IF(AND(H780=0,C779=Summary!$P$2),Summary!$Q$2,IF(AND(H780=0,C779=Summary!$Q$2),Summary!$R$2,C779))</f>
        <v>Reed</v>
      </c>
      <c r="D780" t="str">
        <f>IF(C780=Summary!$P$26,VLOOKUP(Summary!M787,Summary!$Q$26:$R$27,2),IF('Run Data'!C780=Summary!$P$28,VLOOKUP(Summary!M787,Summary!$Q$28:$R$29,2),VLOOKUP(Summary!M787,Summary!$Q$30:$R$32,2)))</f>
        <v>Sprig 2</v>
      </c>
      <c r="E780" t="str">
        <f>VLOOKUP(Summary!M790,Summary!$P$42:$Q$43,2)</f>
        <v>86</v>
      </c>
      <c r="F780">
        <f>IF(LEFT(A780,3)="B60",20,IF(LEFT(A780,3)="B12",30,25))+B780*0.5+INT(Summary!M793*20)</f>
        <v>133</v>
      </c>
      <c r="G780">
        <f>ROUND(IF(OR(ISERROR(FIND(Summary!$P$89,CONCATENATE(C780,D780,E780))),ISERROR(FIND(Summary!$Q$89,A780))),Summary!$R$45,IF(H780&gt;Summary!$V$3,Summary!$R$46,Summary!$R$45))*(B780+30),0)</f>
        <v>2</v>
      </c>
      <c r="H780">
        <f>IF(H779&gt;Summary!$V$4,0,H779+F779)</f>
        <v>102144</v>
      </c>
      <c r="I780" s="26">
        <f>DATE(YEAR(Summary!$V$2),MONTH(Summary!$V$2),DAY(Summary!$V$2)+INT(H780/480))</f>
        <v>43802</v>
      </c>
      <c r="J780" s="27">
        <f t="shared" si="12"/>
        <v>0.6</v>
      </c>
    </row>
    <row r="781" spans="1:10">
      <c r="A781" t="str">
        <f>VLOOKUP(Summary!M780,Summary!$P$13:$Q$24,2)</f>
        <v>B600-lime</v>
      </c>
      <c r="B781">
        <f>ROUND(NORMINV(Summary!M782,VLOOKUP(A781,Summary!$Q$13:$S$24,3,FALSE),VLOOKUP(A781,Summary!$Q$13:$S$24,3,FALSE)/6),-1)</f>
        <v>260</v>
      </c>
      <c r="C781" t="str">
        <f>IF(AND(H781=0,C780=Summary!$P$2),Summary!$Q$2,IF(AND(H781=0,C780=Summary!$Q$2),Summary!$R$2,C780))</f>
        <v>Reed</v>
      </c>
      <c r="D781" t="str">
        <f>IF(C781=Summary!$P$26,VLOOKUP(Summary!M788,Summary!$Q$26:$R$27,2),IF('Run Data'!C781=Summary!$P$28,VLOOKUP(Summary!M788,Summary!$Q$28:$R$29,2),VLOOKUP(Summary!M788,Summary!$Q$30:$R$32,2)))</f>
        <v>Sprig 2</v>
      </c>
      <c r="E781" t="str">
        <f>VLOOKUP(Summary!M791,Summary!$P$42:$Q$43,2)</f>
        <v>86</v>
      </c>
      <c r="F781">
        <f>IF(LEFT(A781,3)="B60",20,IF(LEFT(A781,3)="B12",30,25))+B781*0.5+INT(Summary!M794*20)</f>
        <v>166</v>
      </c>
      <c r="G781">
        <f>ROUND(IF(OR(ISERROR(FIND(Summary!$P$89,CONCATENATE(C781,D781,E781))),ISERROR(FIND(Summary!$Q$89,A781))),Summary!$R$45,IF(H781&gt;Summary!$V$3,Summary!$R$46,Summary!$R$45))*(B781+30),0)</f>
        <v>3</v>
      </c>
      <c r="H781">
        <f>IF(H780&gt;Summary!$V$4,0,H780+F780)</f>
        <v>102277</v>
      </c>
      <c r="I781" s="26">
        <f>DATE(YEAR(Summary!$V$2),MONTH(Summary!$V$2),DAY(Summary!$V$2)+INT(H781/480))</f>
        <v>43803</v>
      </c>
      <c r="J781" s="27">
        <f t="shared" si="12"/>
        <v>0.35902777777777778</v>
      </c>
    </row>
    <row r="782" spans="1:10">
      <c r="A782" t="str">
        <f>VLOOKUP(Summary!M781,Summary!$P$13:$Q$24,2)</f>
        <v>B1200-lime</v>
      </c>
      <c r="B782">
        <f>ROUND(NORMINV(Summary!M783,VLOOKUP(A782,Summary!$Q$13:$S$24,3,FALSE),VLOOKUP(A782,Summary!$Q$13:$S$24,3,FALSE)/6),-1)</f>
        <v>670</v>
      </c>
      <c r="C782" t="str">
        <f>IF(AND(H782=0,C781=Summary!$P$2),Summary!$Q$2,IF(AND(H782=0,C781=Summary!$Q$2),Summary!$R$2,C781))</f>
        <v>Reed</v>
      </c>
      <c r="D782" t="str">
        <f>IF(C782=Summary!$P$26,VLOOKUP(Summary!M789,Summary!$Q$26:$R$27,2),IF('Run Data'!C782=Summary!$P$28,VLOOKUP(Summary!M789,Summary!$Q$28:$R$29,2),VLOOKUP(Summary!M789,Summary!$Q$30:$R$32,2)))</f>
        <v>Sprig 4</v>
      </c>
      <c r="E782" t="str">
        <f>VLOOKUP(Summary!M792,Summary!$P$42:$Q$43,2)</f>
        <v>86</v>
      </c>
      <c r="F782">
        <f>IF(LEFT(A782,3)="B60",20,IF(LEFT(A782,3)="B12",30,25))+B782*0.5+INT(Summary!M795*20)</f>
        <v>367</v>
      </c>
      <c r="G782">
        <f>ROUND(IF(OR(ISERROR(FIND(Summary!$P$89,CONCATENATE(C782,D782,E782))),ISERROR(FIND(Summary!$Q$89,A782))),Summary!$R$45,IF(H782&gt;Summary!$V$3,Summary!$R$46,Summary!$R$45))*(B782+30),0)</f>
        <v>7</v>
      </c>
      <c r="H782">
        <f>IF(H781&gt;Summary!$V$4,0,H781+F781)</f>
        <v>102443</v>
      </c>
      <c r="I782" s="26">
        <f>DATE(YEAR(Summary!$V$2),MONTH(Summary!$V$2),DAY(Summary!$V$2)+INT(H782/480))</f>
        <v>43803</v>
      </c>
      <c r="J782" s="27">
        <f t="shared" si="12"/>
        <v>0.47430555555555554</v>
      </c>
    </row>
    <row r="783" spans="1:10">
      <c r="A783" t="str">
        <f>VLOOKUP(Summary!M782,Summary!$P$13:$Q$24,2)</f>
        <v>B600-lime</v>
      </c>
      <c r="B783">
        <f>ROUND(NORMINV(Summary!M784,VLOOKUP(A783,Summary!$Q$13:$S$24,3,FALSE),VLOOKUP(A783,Summary!$Q$13:$S$24,3,FALSE)/6),-1)</f>
        <v>280</v>
      </c>
      <c r="C783" t="str">
        <f>IF(AND(H783=0,C782=Summary!$P$2),Summary!$Q$2,IF(AND(H783=0,C782=Summary!$Q$2),Summary!$R$2,C782))</f>
        <v>Reed</v>
      </c>
      <c r="D783" t="str">
        <f>IF(C783=Summary!$P$26,VLOOKUP(Summary!M790,Summary!$Q$26:$R$27,2),IF('Run Data'!C783=Summary!$P$28,VLOOKUP(Summary!M790,Summary!$Q$28:$R$29,2),VLOOKUP(Summary!M790,Summary!$Q$30:$R$32,2)))</f>
        <v>Sprig 2</v>
      </c>
      <c r="E783" t="str">
        <f>VLOOKUP(Summary!M793,Summary!$P$42:$Q$43,2)</f>
        <v>86</v>
      </c>
      <c r="F783">
        <f>IF(LEFT(A783,3)="B60",20,IF(LEFT(A783,3)="B12",30,25))+B783*0.5+INT(Summary!M796*20)</f>
        <v>162</v>
      </c>
      <c r="G783">
        <f>ROUND(IF(OR(ISERROR(FIND(Summary!$P$89,CONCATENATE(C783,D783,E783))),ISERROR(FIND(Summary!$Q$89,A783))),Summary!$R$45,IF(H783&gt;Summary!$V$3,Summary!$R$46,Summary!$R$45))*(B783+30),0)</f>
        <v>3</v>
      </c>
      <c r="H783">
        <f>IF(H782&gt;Summary!$V$4,0,H782+F782)</f>
        <v>102810</v>
      </c>
      <c r="I783" s="26">
        <f>DATE(YEAR(Summary!$V$2),MONTH(Summary!$V$2),DAY(Summary!$V$2)+INT(H783/480))</f>
        <v>43804</v>
      </c>
      <c r="J783" s="27">
        <f t="shared" si="12"/>
        <v>0.39583333333333331</v>
      </c>
    </row>
    <row r="784" spans="1:10">
      <c r="A784" t="str">
        <f>VLOOKUP(Summary!M783,Summary!$P$13:$Q$24,2)</f>
        <v>B600-fire</v>
      </c>
      <c r="B784">
        <f>ROUND(NORMINV(Summary!M785,VLOOKUP(A784,Summary!$Q$13:$S$24,3,FALSE),VLOOKUP(A784,Summary!$Q$13:$S$24,3,FALSE)/6),-1)</f>
        <v>430</v>
      </c>
      <c r="C784" t="str">
        <f>IF(AND(H784=0,C783=Summary!$P$2),Summary!$Q$2,IF(AND(H784=0,C783=Summary!$Q$2),Summary!$R$2,C783))</f>
        <v>Reed</v>
      </c>
      <c r="D784" t="str">
        <f>IF(C784=Summary!$P$26,VLOOKUP(Summary!M791,Summary!$Q$26:$R$27,2),IF('Run Data'!C784=Summary!$P$28,VLOOKUP(Summary!M791,Summary!$Q$28:$R$29,2),VLOOKUP(Summary!M791,Summary!$Q$30:$R$32,2)))</f>
        <v>Sprig 2</v>
      </c>
      <c r="E784" t="str">
        <f>VLOOKUP(Summary!M794,Summary!$P$42:$Q$43,2)</f>
        <v>86</v>
      </c>
      <c r="F784">
        <f>IF(LEFT(A784,3)="B60",20,IF(LEFT(A784,3)="B12",30,25))+B784*0.5+INT(Summary!M797*20)</f>
        <v>237</v>
      </c>
      <c r="G784">
        <f>ROUND(IF(OR(ISERROR(FIND(Summary!$P$89,CONCATENATE(C784,D784,E784))),ISERROR(FIND(Summary!$Q$89,A784))),Summary!$R$45,IF(H784&gt;Summary!$V$3,Summary!$R$46,Summary!$R$45))*(B784+30),0)</f>
        <v>5</v>
      </c>
      <c r="H784">
        <f>IF(H783&gt;Summary!$V$4,0,H783+F783)</f>
        <v>102972</v>
      </c>
      <c r="I784" s="26">
        <f>DATE(YEAR(Summary!$V$2),MONTH(Summary!$V$2),DAY(Summary!$V$2)+INT(H784/480))</f>
        <v>43804</v>
      </c>
      <c r="J784" s="27">
        <f t="shared" si="12"/>
        <v>0.5083333333333333</v>
      </c>
    </row>
    <row r="785" spans="1:10">
      <c r="A785" t="str">
        <f>VLOOKUP(Summary!M784,Summary!$P$13:$Q$24,2)</f>
        <v>B1200-plum</v>
      </c>
      <c r="B785">
        <f>ROUND(NORMINV(Summary!M786,VLOOKUP(A785,Summary!$Q$13:$S$24,3,FALSE),VLOOKUP(A785,Summary!$Q$13:$S$24,3,FALSE)/6),-1)</f>
        <v>400</v>
      </c>
      <c r="C785" t="str">
        <f>IF(AND(H785=0,C784=Summary!$P$2),Summary!$Q$2,IF(AND(H785=0,C784=Summary!$Q$2),Summary!$R$2,C784))</f>
        <v>Reed</v>
      </c>
      <c r="D785" t="str">
        <f>IF(C785=Summary!$P$26,VLOOKUP(Summary!M792,Summary!$Q$26:$R$27,2),IF('Run Data'!C785=Summary!$P$28,VLOOKUP(Summary!M792,Summary!$Q$28:$R$29,2),VLOOKUP(Summary!M792,Summary!$Q$30:$R$32,2)))</f>
        <v>Sprig 2</v>
      </c>
      <c r="E785" t="str">
        <f>VLOOKUP(Summary!M795,Summary!$P$42:$Q$43,2)</f>
        <v>86</v>
      </c>
      <c r="F785">
        <f>IF(LEFT(A785,3)="B60",20,IF(LEFT(A785,3)="B12",30,25))+B785*0.5+INT(Summary!M798*20)</f>
        <v>243</v>
      </c>
      <c r="G785">
        <f>ROUND(IF(OR(ISERROR(FIND(Summary!$P$89,CONCATENATE(C785,D785,E785))),ISERROR(FIND(Summary!$Q$89,A785))),Summary!$R$45,IF(H785&gt;Summary!$V$3,Summary!$R$46,Summary!$R$45))*(B785+30),0)</f>
        <v>4</v>
      </c>
      <c r="H785">
        <f>IF(H784&gt;Summary!$V$4,0,H784+F784)</f>
        <v>103209</v>
      </c>
      <c r="I785" s="26">
        <f>DATE(YEAR(Summary!$V$2),MONTH(Summary!$V$2),DAY(Summary!$V$2)+INT(H785/480))</f>
        <v>43805</v>
      </c>
      <c r="J785" s="27">
        <f t="shared" ref="J785:J848" si="13">TIME(INT(MOD(H785,480)/60)+8,MOD(MOD(H785,480),60),0)</f>
        <v>0.33958333333333335</v>
      </c>
    </row>
    <row r="786" spans="1:10">
      <c r="A786" t="str">
        <f>VLOOKUP(Summary!M785,Summary!$P$13:$Q$24,2)</f>
        <v>B1200-lime</v>
      </c>
      <c r="B786">
        <f>ROUND(NORMINV(Summary!M787,VLOOKUP(A786,Summary!$Q$13:$S$24,3,FALSE),VLOOKUP(A786,Summary!$Q$13:$S$24,3,FALSE)/6),-1)</f>
        <v>620</v>
      </c>
      <c r="C786" t="str">
        <f>IF(AND(H786=0,C785=Summary!$P$2),Summary!$Q$2,IF(AND(H786=0,C785=Summary!$Q$2),Summary!$R$2,C785))</f>
        <v>Reed</v>
      </c>
      <c r="D786" t="str">
        <f>IF(C786=Summary!$P$26,VLOOKUP(Summary!M793,Summary!$Q$26:$R$27,2),IF('Run Data'!C786=Summary!$P$28,VLOOKUP(Summary!M793,Summary!$Q$28:$R$29,2),VLOOKUP(Summary!M793,Summary!$Q$30:$R$32,2)))</f>
        <v>Sprig 2</v>
      </c>
      <c r="E786" t="str">
        <f>VLOOKUP(Summary!M796,Summary!$P$42:$Q$43,2)</f>
        <v>86</v>
      </c>
      <c r="F786">
        <f>IF(LEFT(A786,3)="B60",20,IF(LEFT(A786,3)="B12",30,25))+B786*0.5+INT(Summary!M799*20)</f>
        <v>357</v>
      </c>
      <c r="G786">
        <f>ROUND(IF(OR(ISERROR(FIND(Summary!$P$89,CONCATENATE(C786,D786,E786))),ISERROR(FIND(Summary!$Q$89,A786))),Summary!$R$45,IF(H786&gt;Summary!$V$3,Summary!$R$46,Summary!$R$45))*(B786+30),0)</f>
        <v>7</v>
      </c>
      <c r="H786">
        <f>IF(H785&gt;Summary!$V$4,0,H785+F785)</f>
        <v>103452</v>
      </c>
      <c r="I786" s="26">
        <f>DATE(YEAR(Summary!$V$2),MONTH(Summary!$V$2),DAY(Summary!$V$2)+INT(H786/480))</f>
        <v>43805</v>
      </c>
      <c r="J786" s="27">
        <f t="shared" si="13"/>
        <v>0.5083333333333333</v>
      </c>
    </row>
    <row r="787" spans="1:10">
      <c r="A787" t="str">
        <f>VLOOKUP(Summary!M786,Summary!$P$13:$Q$24,2)</f>
        <v>B1200-plum</v>
      </c>
      <c r="B787">
        <f>ROUND(NORMINV(Summary!M788,VLOOKUP(A787,Summary!$Q$13:$S$24,3,FALSE),VLOOKUP(A787,Summary!$Q$13:$S$24,3,FALSE)/6),-1)</f>
        <v>410</v>
      </c>
      <c r="C787" t="str">
        <f>IF(AND(H787=0,C786=Summary!$P$2),Summary!$Q$2,IF(AND(H787=0,C786=Summary!$Q$2),Summary!$R$2,C786))</f>
        <v>Reed</v>
      </c>
      <c r="D787" t="str">
        <f>IF(C787=Summary!$P$26,VLOOKUP(Summary!M794,Summary!$Q$26:$R$27,2),IF('Run Data'!C787=Summary!$P$28,VLOOKUP(Summary!M794,Summary!$Q$28:$R$29,2),VLOOKUP(Summary!M794,Summary!$Q$30:$R$32,2)))</f>
        <v>Sprig 4</v>
      </c>
      <c r="E787" t="str">
        <f>VLOOKUP(Summary!M797,Summary!$P$42:$Q$43,2)</f>
        <v>86</v>
      </c>
      <c r="F787">
        <f>IF(LEFT(A787,3)="B60",20,IF(LEFT(A787,3)="B12",30,25))+B787*0.5+INT(Summary!M800*20)</f>
        <v>244</v>
      </c>
      <c r="G787">
        <f>ROUND(IF(OR(ISERROR(FIND(Summary!$P$89,CONCATENATE(C787,D787,E787))),ISERROR(FIND(Summary!$Q$89,A787))),Summary!$R$45,IF(H787&gt;Summary!$V$3,Summary!$R$46,Summary!$R$45))*(B787+30),0)</f>
        <v>4</v>
      </c>
      <c r="H787">
        <f>IF(H786&gt;Summary!$V$4,0,H786+F786)</f>
        <v>103809</v>
      </c>
      <c r="I787" s="26">
        <f>DATE(YEAR(Summary!$V$2),MONTH(Summary!$V$2),DAY(Summary!$V$2)+INT(H787/480))</f>
        <v>43806</v>
      </c>
      <c r="J787" s="27">
        <f t="shared" si="13"/>
        <v>0.42291666666666666</v>
      </c>
    </row>
    <row r="788" spans="1:10">
      <c r="A788" t="str">
        <f>VLOOKUP(Summary!M787,Summary!$P$13:$Q$24,2)</f>
        <v>B600-sky</v>
      </c>
      <c r="B788">
        <f>ROUND(NORMINV(Summary!M789,VLOOKUP(A788,Summary!$Q$13:$S$24,3,FALSE),VLOOKUP(A788,Summary!$Q$13:$S$24,3,FALSE)/6),-1)</f>
        <v>580</v>
      </c>
      <c r="C788" t="str">
        <f>IF(AND(H788=0,C787=Summary!$P$2),Summary!$Q$2,IF(AND(H788=0,C787=Summary!$Q$2),Summary!$R$2,C787))</f>
        <v>Reed</v>
      </c>
      <c r="D788" t="str">
        <f>IF(C788=Summary!$P$26,VLOOKUP(Summary!M795,Summary!$Q$26:$R$27,2),IF('Run Data'!C788=Summary!$P$28,VLOOKUP(Summary!M795,Summary!$Q$28:$R$29,2),VLOOKUP(Summary!M795,Summary!$Q$30:$R$32,2)))</f>
        <v>Sprig 2</v>
      </c>
      <c r="E788" t="str">
        <f>VLOOKUP(Summary!M798,Summary!$P$42:$Q$43,2)</f>
        <v>86</v>
      </c>
      <c r="F788">
        <f>IF(LEFT(A788,3)="B60",20,IF(LEFT(A788,3)="B12",30,25))+B788*0.5+INT(Summary!M801*20)</f>
        <v>320</v>
      </c>
      <c r="G788">
        <f>ROUND(IF(OR(ISERROR(FIND(Summary!$P$89,CONCATENATE(C788,D788,E788))),ISERROR(FIND(Summary!$Q$89,A788))),Summary!$R$45,IF(H788&gt;Summary!$V$3,Summary!$R$46,Summary!$R$45))*(B788+30),0)</f>
        <v>6</v>
      </c>
      <c r="H788">
        <f>IF(H787&gt;Summary!$V$4,0,H787+F787)</f>
        <v>104053</v>
      </c>
      <c r="I788" s="26">
        <f>DATE(YEAR(Summary!$V$2),MONTH(Summary!$V$2),DAY(Summary!$V$2)+INT(H788/480))</f>
        <v>43806</v>
      </c>
      <c r="J788" s="27">
        <f t="shared" si="13"/>
        <v>0.59236111111111112</v>
      </c>
    </row>
    <row r="789" spans="1:10">
      <c r="A789" t="str">
        <f>VLOOKUP(Summary!M788,Summary!$P$13:$Q$24,2)</f>
        <v>B1200-plum</v>
      </c>
      <c r="B789">
        <f>ROUND(NORMINV(Summary!M790,VLOOKUP(A789,Summary!$Q$13:$S$24,3,FALSE),VLOOKUP(A789,Summary!$Q$13:$S$24,3,FALSE)/6),-1)</f>
        <v>370</v>
      </c>
      <c r="C789" t="str">
        <f>IF(AND(H789=0,C788=Summary!$P$2),Summary!$Q$2,IF(AND(H789=0,C788=Summary!$Q$2),Summary!$R$2,C788))</f>
        <v>Reed</v>
      </c>
      <c r="D789" t="str">
        <f>IF(C789=Summary!$P$26,VLOOKUP(Summary!M796,Summary!$Q$26:$R$27,2),IF('Run Data'!C789=Summary!$P$28,VLOOKUP(Summary!M796,Summary!$Q$28:$R$29,2),VLOOKUP(Summary!M796,Summary!$Q$30:$R$32,2)))</f>
        <v>Sprig 2</v>
      </c>
      <c r="E789" t="str">
        <f>VLOOKUP(Summary!M799,Summary!$P$42:$Q$43,2)</f>
        <v>87b</v>
      </c>
      <c r="F789">
        <f>IF(LEFT(A789,3)="B60",20,IF(LEFT(A789,3)="B12",30,25))+B789*0.5+INT(Summary!M802*20)</f>
        <v>229</v>
      </c>
      <c r="G789">
        <f>ROUND(IF(OR(ISERROR(FIND(Summary!$P$89,CONCATENATE(C789,D789,E789))),ISERROR(FIND(Summary!$Q$89,A789))),Summary!$R$45,IF(H789&gt;Summary!$V$3,Summary!$R$46,Summary!$R$45))*(B789+30),0)</f>
        <v>4</v>
      </c>
      <c r="H789">
        <f>IF(H788&gt;Summary!$V$4,0,H788+F788)</f>
        <v>104373</v>
      </c>
      <c r="I789" s="26">
        <f>DATE(YEAR(Summary!$V$2),MONTH(Summary!$V$2),DAY(Summary!$V$2)+INT(H789/480))</f>
        <v>43807</v>
      </c>
      <c r="J789" s="27">
        <f t="shared" si="13"/>
        <v>0.48125000000000001</v>
      </c>
    </row>
    <row r="790" spans="1:10">
      <c r="A790" t="str">
        <f>VLOOKUP(Summary!M789,Summary!$P$13:$Q$24,2)</f>
        <v>B1700-sky</v>
      </c>
      <c r="B790">
        <f>ROUND(NORMINV(Summary!M791,VLOOKUP(A790,Summary!$Q$13:$S$24,3,FALSE),VLOOKUP(A790,Summary!$Q$13:$S$24,3,FALSE)/6),-1)</f>
        <v>480</v>
      </c>
      <c r="C790" t="str">
        <f>IF(AND(H790=0,C789=Summary!$P$2),Summary!$Q$2,IF(AND(H790=0,C789=Summary!$Q$2),Summary!$R$2,C789))</f>
        <v>Reed</v>
      </c>
      <c r="D790" t="str">
        <f>IF(C790=Summary!$P$26,VLOOKUP(Summary!M797,Summary!$Q$26:$R$27,2),IF('Run Data'!C790=Summary!$P$28,VLOOKUP(Summary!M797,Summary!$Q$28:$R$29,2),VLOOKUP(Summary!M797,Summary!$Q$30:$R$32,2)))</f>
        <v>Sprig 2</v>
      </c>
      <c r="E790" t="str">
        <f>VLOOKUP(Summary!M800,Summary!$P$42:$Q$43,2)</f>
        <v>86</v>
      </c>
      <c r="F790">
        <f>IF(LEFT(A790,3)="B60",20,IF(LEFT(A790,3)="B12",30,25))+B790*0.5+INT(Summary!M803*20)</f>
        <v>274</v>
      </c>
      <c r="G790">
        <f>ROUND(IF(OR(ISERROR(FIND(Summary!$P$89,CONCATENATE(C790,D790,E790))),ISERROR(FIND(Summary!$Q$89,A790))),Summary!$R$45,IF(H790&gt;Summary!$V$3,Summary!$R$46,Summary!$R$45))*(B790+30),0)</f>
        <v>61</v>
      </c>
      <c r="H790">
        <f>IF(H789&gt;Summary!$V$4,0,H789+F789)</f>
        <v>104602</v>
      </c>
      <c r="I790" s="26">
        <f>DATE(YEAR(Summary!$V$2),MONTH(Summary!$V$2),DAY(Summary!$V$2)+INT(H790/480))</f>
        <v>43807</v>
      </c>
      <c r="J790" s="27">
        <f t="shared" si="13"/>
        <v>0.64027777777777783</v>
      </c>
    </row>
    <row r="791" spans="1:10">
      <c r="A791" t="str">
        <f>VLOOKUP(Summary!M790,Summary!$P$13:$Q$24,2)</f>
        <v>B600-fire</v>
      </c>
      <c r="B791">
        <f>ROUND(NORMINV(Summary!M792,VLOOKUP(A791,Summary!$Q$13:$S$24,3,FALSE),VLOOKUP(A791,Summary!$Q$13:$S$24,3,FALSE)/6),-1)</f>
        <v>440</v>
      </c>
      <c r="C791" t="str">
        <f>IF(AND(H791=0,C790=Summary!$P$2),Summary!$Q$2,IF(AND(H791=0,C790=Summary!$Q$2),Summary!$R$2,C790))</f>
        <v>Reed</v>
      </c>
      <c r="D791" t="str">
        <f>IF(C791=Summary!$P$26,VLOOKUP(Summary!M798,Summary!$Q$26:$R$27,2),IF('Run Data'!C791=Summary!$P$28,VLOOKUP(Summary!M798,Summary!$Q$28:$R$29,2),VLOOKUP(Summary!M798,Summary!$Q$30:$R$32,2)))</f>
        <v>Sprig 2</v>
      </c>
      <c r="E791" t="str">
        <f>VLOOKUP(Summary!M801,Summary!$P$42:$Q$43,2)</f>
        <v>86</v>
      </c>
      <c r="F791">
        <f>IF(LEFT(A791,3)="B60",20,IF(LEFT(A791,3)="B12",30,25))+B791*0.5+INT(Summary!M804*20)</f>
        <v>258</v>
      </c>
      <c r="G791">
        <f>ROUND(IF(OR(ISERROR(FIND(Summary!$P$89,CONCATENATE(C791,D791,E791))),ISERROR(FIND(Summary!$Q$89,A791))),Summary!$R$45,IF(H791&gt;Summary!$V$3,Summary!$R$46,Summary!$R$45))*(B791+30),0)</f>
        <v>5</v>
      </c>
      <c r="H791">
        <f>IF(H790&gt;Summary!$V$4,0,H790+F790)</f>
        <v>104876</v>
      </c>
      <c r="I791" s="26">
        <f>DATE(YEAR(Summary!$V$2),MONTH(Summary!$V$2),DAY(Summary!$V$2)+INT(H791/480))</f>
        <v>43808</v>
      </c>
      <c r="J791" s="27">
        <f t="shared" si="13"/>
        <v>0.49722222222222223</v>
      </c>
    </row>
    <row r="792" spans="1:10">
      <c r="A792" t="str">
        <f>VLOOKUP(Summary!M791,Summary!$P$13:$Q$24,2)</f>
        <v>B1200-plum</v>
      </c>
      <c r="B792">
        <f>ROUND(NORMINV(Summary!M793,VLOOKUP(A792,Summary!$Q$13:$S$24,3,FALSE),VLOOKUP(A792,Summary!$Q$13:$S$24,3,FALSE)/6),-1)</f>
        <v>440</v>
      </c>
      <c r="C792" t="str">
        <f>IF(AND(H792=0,C791=Summary!$P$2),Summary!$Q$2,IF(AND(H792=0,C791=Summary!$Q$2),Summary!$R$2,C791))</f>
        <v>Reed</v>
      </c>
      <c r="D792" t="str">
        <f>IF(C792=Summary!$P$26,VLOOKUP(Summary!M799,Summary!$Q$26:$R$27,2),IF('Run Data'!C792=Summary!$P$28,VLOOKUP(Summary!M799,Summary!$Q$28:$R$29,2),VLOOKUP(Summary!M799,Summary!$Q$30:$R$32,2)))</f>
        <v>Sprig 4</v>
      </c>
      <c r="E792" t="str">
        <f>VLOOKUP(Summary!M802,Summary!$P$42:$Q$43,2)</f>
        <v>86</v>
      </c>
      <c r="F792">
        <f>IF(LEFT(A792,3)="B60",20,IF(LEFT(A792,3)="B12",30,25))+B792*0.5+INT(Summary!M805*20)</f>
        <v>250</v>
      </c>
      <c r="G792">
        <f>ROUND(IF(OR(ISERROR(FIND(Summary!$P$89,CONCATENATE(C792,D792,E792))),ISERROR(FIND(Summary!$Q$89,A792))),Summary!$R$45,IF(H792&gt;Summary!$V$3,Summary!$R$46,Summary!$R$45))*(B792+30),0)</f>
        <v>5</v>
      </c>
      <c r="H792">
        <f>IF(H791&gt;Summary!$V$4,0,H791+F791)</f>
        <v>105134</v>
      </c>
      <c r="I792" s="26">
        <f>DATE(YEAR(Summary!$V$2),MONTH(Summary!$V$2),DAY(Summary!$V$2)+INT(H792/480))</f>
        <v>43809</v>
      </c>
      <c r="J792" s="27">
        <f t="shared" si="13"/>
        <v>0.3430555555555555</v>
      </c>
    </row>
    <row r="793" spans="1:10">
      <c r="A793" t="str">
        <f>VLOOKUP(Summary!M792,Summary!$P$13:$Q$24,2)</f>
        <v>B1700-plum</v>
      </c>
      <c r="B793">
        <f>ROUND(NORMINV(Summary!M794,VLOOKUP(A793,Summary!$Q$13:$S$24,3,FALSE),VLOOKUP(A793,Summary!$Q$13:$S$24,3,FALSE)/6),-1)</f>
        <v>350</v>
      </c>
      <c r="C793" t="str">
        <f>IF(AND(H793=0,C792=Summary!$P$2),Summary!$Q$2,IF(AND(H793=0,C792=Summary!$Q$2),Summary!$R$2,C792))</f>
        <v>Reed</v>
      </c>
      <c r="D793" t="str">
        <f>IF(C793=Summary!$P$26,VLOOKUP(Summary!M800,Summary!$Q$26:$R$27,2),IF('Run Data'!C793=Summary!$P$28,VLOOKUP(Summary!M800,Summary!$Q$28:$R$29,2),VLOOKUP(Summary!M800,Summary!$Q$30:$R$32,2)))</f>
        <v>Sprig 2</v>
      </c>
      <c r="E793" t="str">
        <f>VLOOKUP(Summary!M803,Summary!$P$42:$Q$43,2)</f>
        <v>86</v>
      </c>
      <c r="F793">
        <f>IF(LEFT(A793,3)="B60",20,IF(LEFT(A793,3)="B12",30,25))+B793*0.5+INT(Summary!M806*20)</f>
        <v>205</v>
      </c>
      <c r="G793">
        <f>ROUND(IF(OR(ISERROR(FIND(Summary!$P$89,CONCATENATE(C793,D793,E793))),ISERROR(FIND(Summary!$Q$89,A793))),Summary!$R$45,IF(H793&gt;Summary!$V$3,Summary!$R$46,Summary!$R$45))*(B793+30),0)</f>
        <v>46</v>
      </c>
      <c r="H793">
        <f>IF(H792&gt;Summary!$V$4,0,H792+F792)</f>
        <v>105384</v>
      </c>
      <c r="I793" s="26">
        <f>DATE(YEAR(Summary!$V$2),MONTH(Summary!$V$2),DAY(Summary!$V$2)+INT(H793/480))</f>
        <v>43809</v>
      </c>
      <c r="J793" s="27">
        <f t="shared" si="13"/>
        <v>0.51666666666666672</v>
      </c>
    </row>
    <row r="794" spans="1:10">
      <c r="A794" t="str">
        <f>VLOOKUP(Summary!M793,Summary!$P$13:$Q$24,2)</f>
        <v>B1200-sky</v>
      </c>
      <c r="B794">
        <f>ROUND(NORMINV(Summary!M795,VLOOKUP(A794,Summary!$Q$13:$S$24,3,FALSE),VLOOKUP(A794,Summary!$Q$13:$S$24,3,FALSE)/6),-1)</f>
        <v>960</v>
      </c>
      <c r="C794" t="str">
        <f>IF(AND(H794=0,C793=Summary!$P$2),Summary!$Q$2,IF(AND(H794=0,C793=Summary!$Q$2),Summary!$R$2,C793))</f>
        <v>Reed</v>
      </c>
      <c r="D794" t="str">
        <f>IF(C794=Summary!$P$26,VLOOKUP(Summary!M801,Summary!$Q$26:$R$27,2),IF('Run Data'!C794=Summary!$P$28,VLOOKUP(Summary!M801,Summary!$Q$28:$R$29,2),VLOOKUP(Summary!M801,Summary!$Q$30:$R$32,2)))</f>
        <v>Sprig 2</v>
      </c>
      <c r="E794" t="str">
        <f>VLOOKUP(Summary!M804,Summary!$P$42:$Q$43,2)</f>
        <v>87b</v>
      </c>
      <c r="F794">
        <f>IF(LEFT(A794,3)="B60",20,IF(LEFT(A794,3)="B12",30,25))+B794*0.5+INT(Summary!M807*20)</f>
        <v>527</v>
      </c>
      <c r="G794">
        <f>ROUND(IF(OR(ISERROR(FIND(Summary!$P$89,CONCATENATE(C794,D794,E794))),ISERROR(FIND(Summary!$Q$89,A794))),Summary!$R$45,IF(H794&gt;Summary!$V$3,Summary!$R$46,Summary!$R$45))*(B794+30),0)</f>
        <v>10</v>
      </c>
      <c r="H794">
        <f>IF(H793&gt;Summary!$V$4,0,H793+F793)</f>
        <v>105589</v>
      </c>
      <c r="I794" s="26">
        <f>DATE(YEAR(Summary!$V$2),MONTH(Summary!$V$2),DAY(Summary!$V$2)+INT(H794/480))</f>
        <v>43809</v>
      </c>
      <c r="J794" s="27">
        <f t="shared" si="13"/>
        <v>0.65902777777777777</v>
      </c>
    </row>
    <row r="795" spans="1:10">
      <c r="A795" t="str">
        <f>VLOOKUP(Summary!M794,Summary!$P$13:$Q$24,2)</f>
        <v>B1700-sky</v>
      </c>
      <c r="B795">
        <f>ROUND(NORMINV(Summary!M796,VLOOKUP(A795,Summary!$Q$13:$S$24,3,FALSE),VLOOKUP(A795,Summary!$Q$13:$S$24,3,FALSE)/6),-1)</f>
        <v>440</v>
      </c>
      <c r="C795" t="str">
        <f>IF(AND(H795=0,C794=Summary!$P$2),Summary!$Q$2,IF(AND(H795=0,C794=Summary!$Q$2),Summary!$R$2,C794))</f>
        <v>Reed</v>
      </c>
      <c r="D795" t="str">
        <f>IF(C795=Summary!$P$26,VLOOKUP(Summary!M802,Summary!$Q$26:$R$27,2),IF('Run Data'!C795=Summary!$P$28,VLOOKUP(Summary!M802,Summary!$Q$28:$R$29,2),VLOOKUP(Summary!M802,Summary!$Q$30:$R$32,2)))</f>
        <v>Sprig 2</v>
      </c>
      <c r="E795" t="str">
        <f>VLOOKUP(Summary!M805,Summary!$P$42:$Q$43,2)</f>
        <v>86</v>
      </c>
      <c r="F795">
        <f>IF(LEFT(A795,3)="B60",20,IF(LEFT(A795,3)="B12",30,25))+B795*0.5+INT(Summary!M808*20)</f>
        <v>260</v>
      </c>
      <c r="G795">
        <f>ROUND(IF(OR(ISERROR(FIND(Summary!$P$89,CONCATENATE(C795,D795,E795))),ISERROR(FIND(Summary!$Q$89,A795))),Summary!$R$45,IF(H795&gt;Summary!$V$3,Summary!$R$46,Summary!$R$45))*(B795+30),0)</f>
        <v>56</v>
      </c>
      <c r="H795">
        <f>IF(H794&gt;Summary!$V$4,0,H794+F794)</f>
        <v>106116</v>
      </c>
      <c r="I795" s="26">
        <f>DATE(YEAR(Summary!$V$2),MONTH(Summary!$V$2),DAY(Summary!$V$2)+INT(H795/480))</f>
        <v>43811</v>
      </c>
      <c r="J795" s="27">
        <f t="shared" si="13"/>
        <v>0.35833333333333334</v>
      </c>
    </row>
    <row r="796" spans="1:10">
      <c r="A796" t="str">
        <f>VLOOKUP(Summary!M795,Summary!$P$13:$Q$24,2)</f>
        <v>B600-fire</v>
      </c>
      <c r="B796">
        <f>ROUND(NORMINV(Summary!M797,VLOOKUP(A796,Summary!$Q$13:$S$24,3,FALSE),VLOOKUP(A796,Summary!$Q$13:$S$24,3,FALSE)/6),-1)</f>
        <v>320</v>
      </c>
      <c r="C796" t="str">
        <f>IF(AND(H796=0,C795=Summary!$P$2),Summary!$Q$2,IF(AND(H796=0,C795=Summary!$Q$2),Summary!$R$2,C795))</f>
        <v>Reed</v>
      </c>
      <c r="D796" t="str">
        <f>IF(C796=Summary!$P$26,VLOOKUP(Summary!M803,Summary!$Q$26:$R$27,2),IF('Run Data'!C796=Summary!$P$28,VLOOKUP(Summary!M803,Summary!$Q$28:$R$29,2),VLOOKUP(Summary!M803,Summary!$Q$30:$R$32,2)))</f>
        <v>Sprig 2</v>
      </c>
      <c r="E796" t="str">
        <f>VLOOKUP(Summary!M806,Summary!$P$42:$Q$43,2)</f>
        <v>86</v>
      </c>
      <c r="F796">
        <f>IF(LEFT(A796,3)="B60",20,IF(LEFT(A796,3)="B12",30,25))+B796*0.5+INT(Summary!M809*20)</f>
        <v>194</v>
      </c>
      <c r="G796">
        <f>ROUND(IF(OR(ISERROR(FIND(Summary!$P$89,CONCATENATE(C796,D796,E796))),ISERROR(FIND(Summary!$Q$89,A796))),Summary!$R$45,IF(H796&gt;Summary!$V$3,Summary!$R$46,Summary!$R$45))*(B796+30),0)</f>
        <v>4</v>
      </c>
      <c r="H796">
        <f>IF(H795&gt;Summary!$V$4,0,H795+F795)</f>
        <v>106376</v>
      </c>
      <c r="I796" s="26">
        <f>DATE(YEAR(Summary!$V$2),MONTH(Summary!$V$2),DAY(Summary!$V$2)+INT(H796/480))</f>
        <v>43811</v>
      </c>
      <c r="J796" s="27">
        <f t="shared" si="13"/>
        <v>0.53888888888888886</v>
      </c>
    </row>
    <row r="797" spans="1:10">
      <c r="A797" t="str">
        <f>VLOOKUP(Summary!M796,Summary!$P$13:$Q$24,2)</f>
        <v>B600-fire</v>
      </c>
      <c r="B797">
        <f>ROUND(NORMINV(Summary!M798,VLOOKUP(A797,Summary!$Q$13:$S$24,3,FALSE),VLOOKUP(A797,Summary!$Q$13:$S$24,3,FALSE)/6),-1)</f>
        <v>430</v>
      </c>
      <c r="C797" t="str">
        <f>IF(AND(H797=0,C796=Summary!$P$2),Summary!$Q$2,IF(AND(H797=0,C796=Summary!$Q$2),Summary!$R$2,C796))</f>
        <v>Reed</v>
      </c>
      <c r="D797" t="str">
        <f>IF(C797=Summary!$P$26,VLOOKUP(Summary!M804,Summary!$Q$26:$R$27,2),IF('Run Data'!C797=Summary!$P$28,VLOOKUP(Summary!M804,Summary!$Q$28:$R$29,2),VLOOKUP(Summary!M804,Summary!$Q$30:$R$32,2)))</f>
        <v>Sprig 4</v>
      </c>
      <c r="E797" t="str">
        <f>VLOOKUP(Summary!M807,Summary!$P$42:$Q$43,2)</f>
        <v>87b</v>
      </c>
      <c r="F797">
        <f>IF(LEFT(A797,3)="B60",20,IF(LEFT(A797,3)="B12",30,25))+B797*0.5+INT(Summary!M810*20)</f>
        <v>249</v>
      </c>
      <c r="G797">
        <f>ROUND(IF(OR(ISERROR(FIND(Summary!$P$89,CONCATENATE(C797,D797,E797))),ISERROR(FIND(Summary!$Q$89,A797))),Summary!$R$45,IF(H797&gt;Summary!$V$3,Summary!$R$46,Summary!$R$45))*(B797+30),0)</f>
        <v>5</v>
      </c>
      <c r="H797">
        <f>IF(H796&gt;Summary!$V$4,0,H796+F796)</f>
        <v>106570</v>
      </c>
      <c r="I797" s="26">
        <f>DATE(YEAR(Summary!$V$2),MONTH(Summary!$V$2),DAY(Summary!$V$2)+INT(H797/480))</f>
        <v>43812</v>
      </c>
      <c r="J797" s="27">
        <f t="shared" si="13"/>
        <v>0.34027777777777773</v>
      </c>
    </row>
    <row r="798" spans="1:10">
      <c r="A798" t="str">
        <f>VLOOKUP(Summary!M797,Summary!$P$13:$Q$24,2)</f>
        <v>B600-fire</v>
      </c>
      <c r="B798">
        <f>ROUND(NORMINV(Summary!M799,VLOOKUP(A798,Summary!$Q$13:$S$24,3,FALSE),VLOOKUP(A798,Summary!$Q$13:$S$24,3,FALSE)/6),-1)</f>
        <v>470</v>
      </c>
      <c r="C798" t="str">
        <f>IF(AND(H798=0,C797=Summary!$P$2),Summary!$Q$2,IF(AND(H798=0,C797=Summary!$Q$2),Summary!$R$2,C797))</f>
        <v>Reed</v>
      </c>
      <c r="D798" t="str">
        <f>IF(C798=Summary!$P$26,VLOOKUP(Summary!M805,Summary!$Q$26:$R$27,2),IF('Run Data'!C798=Summary!$P$28,VLOOKUP(Summary!M805,Summary!$Q$28:$R$29,2),VLOOKUP(Summary!M805,Summary!$Q$30:$R$32,2)))</f>
        <v>Sprig 2</v>
      </c>
      <c r="E798" t="str">
        <f>VLOOKUP(Summary!M808,Summary!$P$42:$Q$43,2)</f>
        <v>86</v>
      </c>
      <c r="F798">
        <f>IF(LEFT(A798,3)="B60",20,IF(LEFT(A798,3)="B12",30,25))+B798*0.5+INT(Summary!M811*20)</f>
        <v>267</v>
      </c>
      <c r="G798">
        <f>ROUND(IF(OR(ISERROR(FIND(Summary!$P$89,CONCATENATE(C798,D798,E798))),ISERROR(FIND(Summary!$Q$89,A798))),Summary!$R$45,IF(H798&gt;Summary!$V$3,Summary!$R$46,Summary!$R$45))*(B798+30),0)</f>
        <v>5</v>
      </c>
      <c r="H798">
        <f>IF(H797&gt;Summary!$V$4,0,H797+F797)</f>
        <v>106819</v>
      </c>
      <c r="I798" s="26">
        <f>DATE(YEAR(Summary!$V$2),MONTH(Summary!$V$2),DAY(Summary!$V$2)+INT(H798/480))</f>
        <v>43812</v>
      </c>
      <c r="J798" s="27">
        <f t="shared" si="13"/>
        <v>0.5131944444444444</v>
      </c>
    </row>
    <row r="799" spans="1:10">
      <c r="A799" t="str">
        <f>VLOOKUP(Summary!M798,Summary!$P$13:$Q$24,2)</f>
        <v>B1200-lime</v>
      </c>
      <c r="B799">
        <f>ROUND(NORMINV(Summary!M800,VLOOKUP(A799,Summary!$Q$13:$S$24,3,FALSE),VLOOKUP(A799,Summary!$Q$13:$S$24,3,FALSE)/6),-1)</f>
        <v>800</v>
      </c>
      <c r="C799" t="str">
        <f>IF(AND(H799=0,C798=Summary!$P$2),Summary!$Q$2,IF(AND(H799=0,C798=Summary!$Q$2),Summary!$R$2,C798))</f>
        <v>Reed</v>
      </c>
      <c r="D799" t="str">
        <f>IF(C799=Summary!$P$26,VLOOKUP(Summary!M806,Summary!$Q$26:$R$27,2),IF('Run Data'!C799=Summary!$P$28,VLOOKUP(Summary!M806,Summary!$Q$28:$R$29,2),VLOOKUP(Summary!M806,Summary!$Q$30:$R$32,2)))</f>
        <v>Sprig 2</v>
      </c>
      <c r="E799" t="str">
        <f>VLOOKUP(Summary!M809,Summary!$P$42:$Q$43,2)</f>
        <v>86</v>
      </c>
      <c r="F799">
        <f>IF(LEFT(A799,3)="B60",20,IF(LEFT(A799,3)="B12",30,25))+B799*0.5+INT(Summary!M812*20)</f>
        <v>442</v>
      </c>
      <c r="G799">
        <f>ROUND(IF(OR(ISERROR(FIND(Summary!$P$89,CONCATENATE(C799,D799,E799))),ISERROR(FIND(Summary!$Q$89,A799))),Summary!$R$45,IF(H799&gt;Summary!$V$3,Summary!$R$46,Summary!$R$45))*(B799+30),0)</f>
        <v>8</v>
      </c>
      <c r="H799">
        <f>IF(H798&gt;Summary!$V$4,0,H798+F798)</f>
        <v>107086</v>
      </c>
      <c r="I799" s="26">
        <f>DATE(YEAR(Summary!$V$2),MONTH(Summary!$V$2),DAY(Summary!$V$2)+INT(H799/480))</f>
        <v>43813</v>
      </c>
      <c r="J799" s="27">
        <f t="shared" si="13"/>
        <v>0.36527777777777781</v>
      </c>
    </row>
    <row r="800" spans="1:10">
      <c r="A800" t="str">
        <f>VLOOKUP(Summary!M799,Summary!$P$13:$Q$24,2)</f>
        <v>B1700-fire</v>
      </c>
      <c r="B800">
        <f>ROUND(NORMINV(Summary!M801,VLOOKUP(A800,Summary!$Q$13:$S$24,3,FALSE),VLOOKUP(A800,Summary!$Q$13:$S$24,3,FALSE)/6),-1)</f>
        <v>760</v>
      </c>
      <c r="C800" t="str">
        <f>IF(AND(H800=0,C799=Summary!$P$2),Summary!$Q$2,IF(AND(H800=0,C799=Summary!$Q$2),Summary!$R$2,C799))</f>
        <v>Reed</v>
      </c>
      <c r="D800" t="str">
        <f>IF(C800=Summary!$P$26,VLOOKUP(Summary!M807,Summary!$Q$26:$R$27,2),IF('Run Data'!C800=Summary!$P$28,VLOOKUP(Summary!M807,Summary!$Q$28:$R$29,2),VLOOKUP(Summary!M807,Summary!$Q$30:$R$32,2)))</f>
        <v>Sprig 4</v>
      </c>
      <c r="E800" t="str">
        <f>VLOOKUP(Summary!M810,Summary!$P$42:$Q$43,2)</f>
        <v>86</v>
      </c>
      <c r="F800">
        <f>IF(LEFT(A800,3)="B60",20,IF(LEFT(A800,3)="B12",30,25))+B800*0.5+INT(Summary!M813*20)</f>
        <v>415</v>
      </c>
      <c r="G800">
        <f>ROUND(IF(OR(ISERROR(FIND(Summary!$P$89,CONCATENATE(C800,D800,E800))),ISERROR(FIND(Summary!$Q$89,A800))),Summary!$R$45,IF(H800&gt;Summary!$V$3,Summary!$R$46,Summary!$R$45))*(B800+30),0)</f>
        <v>95</v>
      </c>
      <c r="H800">
        <f>IF(H799&gt;Summary!$V$4,0,H799+F799)</f>
        <v>107528</v>
      </c>
      <c r="I800" s="26">
        <f>DATE(YEAR(Summary!$V$2),MONTH(Summary!$V$2),DAY(Summary!$V$2)+INT(H800/480))</f>
        <v>43814</v>
      </c>
      <c r="J800" s="27">
        <f t="shared" si="13"/>
        <v>0.33888888888888885</v>
      </c>
    </row>
    <row r="801" spans="1:10">
      <c r="A801" t="str">
        <f>VLOOKUP(Summary!M800,Summary!$P$13:$Q$24,2)</f>
        <v>B1200-fire</v>
      </c>
      <c r="B801">
        <f>ROUND(NORMINV(Summary!M802,VLOOKUP(A801,Summary!$Q$13:$S$24,3,FALSE),VLOOKUP(A801,Summary!$Q$13:$S$24,3,FALSE)/6),-1)</f>
        <v>1310</v>
      </c>
      <c r="C801" t="str">
        <f>IF(AND(H801=0,C800=Summary!$P$2),Summary!$Q$2,IF(AND(H801=0,C800=Summary!$Q$2),Summary!$R$2,C800))</f>
        <v>Reed</v>
      </c>
      <c r="D801" t="str">
        <f>IF(C801=Summary!$P$26,VLOOKUP(Summary!M808,Summary!$Q$26:$R$27,2),IF('Run Data'!C801=Summary!$P$28,VLOOKUP(Summary!M808,Summary!$Q$28:$R$29,2),VLOOKUP(Summary!M808,Summary!$Q$30:$R$32,2)))</f>
        <v>Sprig 2</v>
      </c>
      <c r="E801" t="str">
        <f>VLOOKUP(Summary!M811,Summary!$P$42:$Q$43,2)</f>
        <v>86</v>
      </c>
      <c r="F801">
        <f>IF(LEFT(A801,3)="B60",20,IF(LEFT(A801,3)="B12",30,25))+B801*0.5+INT(Summary!M814*20)</f>
        <v>698</v>
      </c>
      <c r="G801">
        <f>ROUND(IF(OR(ISERROR(FIND(Summary!$P$89,CONCATENATE(C801,D801,E801))),ISERROR(FIND(Summary!$Q$89,A801))),Summary!$R$45,IF(H801&gt;Summary!$V$3,Summary!$R$46,Summary!$R$45))*(B801+30),0)</f>
        <v>13</v>
      </c>
      <c r="H801">
        <f>IF(H800&gt;Summary!$V$4,0,H800+F800)</f>
        <v>107943</v>
      </c>
      <c r="I801" s="26">
        <f>DATE(YEAR(Summary!$V$2),MONTH(Summary!$V$2),DAY(Summary!$V$2)+INT(H801/480))</f>
        <v>43814</v>
      </c>
      <c r="J801" s="27">
        <f t="shared" si="13"/>
        <v>0.62708333333333333</v>
      </c>
    </row>
    <row r="802" spans="1:10">
      <c r="A802" t="str">
        <f>VLOOKUP(Summary!M801,Summary!$P$13:$Q$24,2)</f>
        <v>B1200-fire</v>
      </c>
      <c r="B802">
        <f>ROUND(NORMINV(Summary!M803,VLOOKUP(A802,Summary!$Q$13:$S$24,3,FALSE),VLOOKUP(A802,Summary!$Q$13:$S$24,3,FALSE)/6),-1)</f>
        <v>1180</v>
      </c>
      <c r="C802" t="str">
        <f>IF(AND(H802=0,C801=Summary!$P$2),Summary!$Q$2,IF(AND(H802=0,C801=Summary!$Q$2),Summary!$R$2,C801))</f>
        <v>Reed</v>
      </c>
      <c r="D802" t="str">
        <f>IF(C802=Summary!$P$26,VLOOKUP(Summary!M809,Summary!$Q$26:$R$27,2),IF('Run Data'!C802=Summary!$P$28,VLOOKUP(Summary!M809,Summary!$Q$28:$R$29,2),VLOOKUP(Summary!M809,Summary!$Q$30:$R$32,2)))</f>
        <v>Sprig 2</v>
      </c>
      <c r="E802" t="str">
        <f>VLOOKUP(Summary!M812,Summary!$P$42:$Q$43,2)</f>
        <v>86</v>
      </c>
      <c r="F802">
        <f>IF(LEFT(A802,3)="B60",20,IF(LEFT(A802,3)="B12",30,25))+B802*0.5+INT(Summary!M815*20)</f>
        <v>633</v>
      </c>
      <c r="G802">
        <f>ROUND(IF(OR(ISERROR(FIND(Summary!$P$89,CONCATENATE(C802,D802,E802))),ISERROR(FIND(Summary!$Q$89,A802))),Summary!$R$45,IF(H802&gt;Summary!$V$3,Summary!$R$46,Summary!$R$45))*(B802+30),0)</f>
        <v>12</v>
      </c>
      <c r="H802">
        <f>IF(H801&gt;Summary!$V$4,0,H801+F801)</f>
        <v>108641</v>
      </c>
      <c r="I802" s="26">
        <f>DATE(YEAR(Summary!$V$2),MONTH(Summary!$V$2),DAY(Summary!$V$2)+INT(H802/480))</f>
        <v>43816</v>
      </c>
      <c r="J802" s="27">
        <f t="shared" si="13"/>
        <v>0.44513888888888892</v>
      </c>
    </row>
    <row r="803" spans="1:10">
      <c r="A803" t="str">
        <f>VLOOKUP(Summary!M802,Summary!$P$13:$Q$24,2)</f>
        <v>B1700-plum</v>
      </c>
      <c r="B803">
        <f>ROUND(NORMINV(Summary!M804,VLOOKUP(A803,Summary!$Q$13:$S$24,3,FALSE),VLOOKUP(A803,Summary!$Q$13:$S$24,3,FALSE)/6),-1)</f>
        <v>370</v>
      </c>
      <c r="C803" t="str">
        <f>IF(AND(H803=0,C802=Summary!$P$2),Summary!$Q$2,IF(AND(H803=0,C802=Summary!$Q$2),Summary!$R$2,C802))</f>
        <v>Reed</v>
      </c>
      <c r="D803" t="str">
        <f>IF(C803=Summary!$P$26,VLOOKUP(Summary!M810,Summary!$Q$26:$R$27,2),IF('Run Data'!C803=Summary!$P$28,VLOOKUP(Summary!M810,Summary!$Q$28:$R$29,2),VLOOKUP(Summary!M810,Summary!$Q$30:$R$32,2)))</f>
        <v>Sprig 2</v>
      </c>
      <c r="E803" t="str">
        <f>VLOOKUP(Summary!M813,Summary!$P$42:$Q$43,2)</f>
        <v>86</v>
      </c>
      <c r="F803">
        <f>IF(LEFT(A803,3)="B60",20,IF(LEFT(A803,3)="B12",30,25))+B803*0.5+INT(Summary!M816*20)</f>
        <v>227</v>
      </c>
      <c r="G803">
        <f>ROUND(IF(OR(ISERROR(FIND(Summary!$P$89,CONCATENATE(C803,D803,E803))),ISERROR(FIND(Summary!$Q$89,A803))),Summary!$R$45,IF(H803&gt;Summary!$V$3,Summary!$R$46,Summary!$R$45))*(B803+30),0)</f>
        <v>48</v>
      </c>
      <c r="H803">
        <f>IF(H802&gt;Summary!$V$4,0,H802+F802)</f>
        <v>109274</v>
      </c>
      <c r="I803" s="26">
        <f>DATE(YEAR(Summary!$V$2),MONTH(Summary!$V$2),DAY(Summary!$V$2)+INT(H803/480))</f>
        <v>43817</v>
      </c>
      <c r="J803" s="27">
        <f t="shared" si="13"/>
        <v>0.55138888888888882</v>
      </c>
    </row>
    <row r="804" spans="1:10">
      <c r="A804" t="str">
        <f>VLOOKUP(Summary!M803,Summary!$P$13:$Q$24,2)</f>
        <v>B1200-fire</v>
      </c>
      <c r="B804">
        <f>ROUND(NORMINV(Summary!M805,VLOOKUP(A804,Summary!$Q$13:$S$24,3,FALSE),VLOOKUP(A804,Summary!$Q$13:$S$24,3,FALSE)/6),-1)</f>
        <v>770</v>
      </c>
      <c r="C804" t="str">
        <f>IF(AND(H804=0,C803=Summary!$P$2),Summary!$Q$2,IF(AND(H804=0,C803=Summary!$Q$2),Summary!$R$2,C803))</f>
        <v>Reed</v>
      </c>
      <c r="D804" t="str">
        <f>IF(C804=Summary!$P$26,VLOOKUP(Summary!M811,Summary!$Q$26:$R$27,2),IF('Run Data'!C804=Summary!$P$28,VLOOKUP(Summary!M811,Summary!$Q$28:$R$29,2),VLOOKUP(Summary!M811,Summary!$Q$30:$R$32,2)))</f>
        <v>Sprig 2</v>
      </c>
      <c r="E804" t="str">
        <f>VLOOKUP(Summary!M814,Summary!$P$42:$Q$43,2)</f>
        <v>86</v>
      </c>
      <c r="F804">
        <f>IF(LEFT(A804,3)="B60",20,IF(LEFT(A804,3)="B12",30,25))+B804*0.5+INT(Summary!M817*20)</f>
        <v>415</v>
      </c>
      <c r="G804">
        <f>ROUND(IF(OR(ISERROR(FIND(Summary!$P$89,CONCATENATE(C804,D804,E804))),ISERROR(FIND(Summary!$Q$89,A804))),Summary!$R$45,IF(H804&gt;Summary!$V$3,Summary!$R$46,Summary!$R$45))*(B804+30),0)</f>
        <v>8</v>
      </c>
      <c r="H804">
        <f>IF(H803&gt;Summary!$V$4,0,H803+F803)</f>
        <v>109501</v>
      </c>
      <c r="I804" s="26">
        <f>DATE(YEAR(Summary!$V$2),MONTH(Summary!$V$2),DAY(Summary!$V$2)+INT(H804/480))</f>
        <v>43818</v>
      </c>
      <c r="J804" s="27">
        <f t="shared" si="13"/>
        <v>0.3756944444444445</v>
      </c>
    </row>
    <row r="805" spans="1:10">
      <c r="A805" t="str">
        <f>VLOOKUP(Summary!M804,Summary!$P$13:$Q$24,2)</f>
        <v>B1700-fire</v>
      </c>
      <c r="B805">
        <f>ROUND(NORMINV(Summary!M806,VLOOKUP(A805,Summary!$Q$13:$S$24,3,FALSE),VLOOKUP(A805,Summary!$Q$13:$S$24,3,FALSE)/6),-1)</f>
        <v>670</v>
      </c>
      <c r="C805" t="str">
        <f>IF(AND(H805=0,C804=Summary!$P$2),Summary!$Q$2,IF(AND(H805=0,C804=Summary!$Q$2),Summary!$R$2,C804))</f>
        <v>Reed</v>
      </c>
      <c r="D805" t="str">
        <f>IF(C805=Summary!$P$26,VLOOKUP(Summary!M812,Summary!$Q$26:$R$27,2),IF('Run Data'!C805=Summary!$P$28,VLOOKUP(Summary!M812,Summary!$Q$28:$R$29,2),VLOOKUP(Summary!M812,Summary!$Q$30:$R$32,2)))</f>
        <v>Sprig 2</v>
      </c>
      <c r="E805" t="str">
        <f>VLOOKUP(Summary!M815,Summary!$P$42:$Q$43,2)</f>
        <v>86</v>
      </c>
      <c r="F805">
        <f>IF(LEFT(A805,3)="B60",20,IF(LEFT(A805,3)="B12",30,25))+B805*0.5+INT(Summary!M818*20)</f>
        <v>376</v>
      </c>
      <c r="G805">
        <f>ROUND(IF(OR(ISERROR(FIND(Summary!$P$89,CONCATENATE(C805,D805,E805))),ISERROR(FIND(Summary!$Q$89,A805))),Summary!$R$45,IF(H805&gt;Summary!$V$3,Summary!$R$46,Summary!$R$45))*(B805+30),0)</f>
        <v>84</v>
      </c>
      <c r="H805">
        <f>IF(H804&gt;Summary!$V$4,0,H804+F804)</f>
        <v>109916</v>
      </c>
      <c r="I805" s="26">
        <f>DATE(YEAR(Summary!$V$2),MONTH(Summary!$V$2),DAY(Summary!$V$2)+INT(H805/480))</f>
        <v>43818</v>
      </c>
      <c r="J805" s="27">
        <f t="shared" si="13"/>
        <v>0.66388888888888886</v>
      </c>
    </row>
    <row r="806" spans="1:10">
      <c r="A806" t="str">
        <f>VLOOKUP(Summary!M805,Summary!$P$13:$Q$24,2)</f>
        <v>B600-plum</v>
      </c>
      <c r="B806">
        <f>ROUND(NORMINV(Summary!M807,VLOOKUP(A806,Summary!$Q$13:$S$24,3,FALSE),VLOOKUP(A806,Summary!$Q$13:$S$24,3,FALSE)/6),-1)</f>
        <v>240</v>
      </c>
      <c r="C806" t="str">
        <f>IF(AND(H806=0,C805=Summary!$P$2),Summary!$Q$2,IF(AND(H806=0,C805=Summary!$Q$2),Summary!$R$2,C805))</f>
        <v>Reed</v>
      </c>
      <c r="D806" t="str">
        <f>IF(C806=Summary!$P$26,VLOOKUP(Summary!M813,Summary!$Q$26:$R$27,2),IF('Run Data'!C806=Summary!$P$28,VLOOKUP(Summary!M813,Summary!$Q$28:$R$29,2),VLOOKUP(Summary!M813,Summary!$Q$30:$R$32,2)))</f>
        <v>Sprig 2</v>
      </c>
      <c r="E806" t="str">
        <f>VLOOKUP(Summary!M816,Summary!$P$42:$Q$43,2)</f>
        <v>87b</v>
      </c>
      <c r="F806">
        <f>IF(LEFT(A806,3)="B60",20,IF(LEFT(A806,3)="B12",30,25))+B806*0.5+INT(Summary!M819*20)</f>
        <v>156</v>
      </c>
      <c r="G806">
        <f>ROUND(IF(OR(ISERROR(FIND(Summary!$P$89,CONCATENATE(C806,D806,E806))),ISERROR(FIND(Summary!$Q$89,A806))),Summary!$R$45,IF(H806&gt;Summary!$V$3,Summary!$R$46,Summary!$R$45))*(B806+30),0)</f>
        <v>3</v>
      </c>
      <c r="H806">
        <f>IF(H805&gt;Summary!$V$4,0,H805+F805)</f>
        <v>110292</v>
      </c>
      <c r="I806" s="26">
        <f>DATE(YEAR(Summary!$V$2),MONTH(Summary!$V$2),DAY(Summary!$V$2)+INT(H806/480))</f>
        <v>43819</v>
      </c>
      <c r="J806" s="27">
        <f t="shared" si="13"/>
        <v>0.59166666666666667</v>
      </c>
    </row>
    <row r="807" spans="1:10">
      <c r="A807" t="str">
        <f>VLOOKUP(Summary!M806,Summary!$P$13:$Q$24,2)</f>
        <v>B1200-plum</v>
      </c>
      <c r="B807">
        <f>ROUND(NORMINV(Summary!M808,VLOOKUP(A807,Summary!$Q$13:$S$24,3,FALSE),VLOOKUP(A807,Summary!$Q$13:$S$24,3,FALSE)/6),-1)</f>
        <v>500</v>
      </c>
      <c r="C807" t="str">
        <f>IF(AND(H807=0,C806=Summary!$P$2),Summary!$Q$2,IF(AND(H807=0,C806=Summary!$Q$2),Summary!$R$2,C806))</f>
        <v>Reed</v>
      </c>
      <c r="D807" t="str">
        <f>IF(C807=Summary!$P$26,VLOOKUP(Summary!M814,Summary!$Q$26:$R$27,2),IF('Run Data'!C807=Summary!$P$28,VLOOKUP(Summary!M814,Summary!$Q$28:$R$29,2),VLOOKUP(Summary!M814,Summary!$Q$30:$R$32,2)))</f>
        <v>Sprig 2</v>
      </c>
      <c r="E807" t="str">
        <f>VLOOKUP(Summary!M817,Summary!$P$42:$Q$43,2)</f>
        <v>86</v>
      </c>
      <c r="F807">
        <f>IF(LEFT(A807,3)="B60",20,IF(LEFT(A807,3)="B12",30,25))+B807*0.5+INT(Summary!M820*20)</f>
        <v>282</v>
      </c>
      <c r="G807">
        <f>ROUND(IF(OR(ISERROR(FIND(Summary!$P$89,CONCATENATE(C807,D807,E807))),ISERROR(FIND(Summary!$Q$89,A807))),Summary!$R$45,IF(H807&gt;Summary!$V$3,Summary!$R$46,Summary!$R$45))*(B807+30),0)</f>
        <v>5</v>
      </c>
      <c r="H807">
        <f>IF(H806&gt;Summary!$V$4,0,H806+F806)</f>
        <v>110448</v>
      </c>
      <c r="I807" s="26">
        <f>DATE(YEAR(Summary!$V$2),MONTH(Summary!$V$2),DAY(Summary!$V$2)+INT(H807/480))</f>
        <v>43820</v>
      </c>
      <c r="J807" s="27">
        <f t="shared" si="13"/>
        <v>0.3666666666666667</v>
      </c>
    </row>
    <row r="808" spans="1:10">
      <c r="A808" t="str">
        <f>VLOOKUP(Summary!M807,Summary!$P$13:$Q$24,2)</f>
        <v>B1700-fire</v>
      </c>
      <c r="B808">
        <f>ROUND(NORMINV(Summary!M809,VLOOKUP(A808,Summary!$Q$13:$S$24,3,FALSE),VLOOKUP(A808,Summary!$Q$13:$S$24,3,FALSE)/6),-1)</f>
        <v>820</v>
      </c>
      <c r="C808" t="str">
        <f>IF(AND(H808=0,C807=Summary!$P$2),Summary!$Q$2,IF(AND(H808=0,C807=Summary!$Q$2),Summary!$R$2,C807))</f>
        <v>Reed</v>
      </c>
      <c r="D808" t="str">
        <f>IF(C808=Summary!$P$26,VLOOKUP(Summary!M815,Summary!$Q$26:$R$27,2),IF('Run Data'!C808=Summary!$P$28,VLOOKUP(Summary!M815,Summary!$Q$28:$R$29,2),VLOOKUP(Summary!M815,Summary!$Q$30:$R$32,2)))</f>
        <v>Sprig 2</v>
      </c>
      <c r="E808" t="str">
        <f>VLOOKUP(Summary!M818,Summary!$P$42:$Q$43,2)</f>
        <v>86</v>
      </c>
      <c r="F808">
        <f>IF(LEFT(A808,3)="B60",20,IF(LEFT(A808,3)="B12",30,25))+B808*0.5+INT(Summary!M821*20)</f>
        <v>443</v>
      </c>
      <c r="G808">
        <f>ROUND(IF(OR(ISERROR(FIND(Summary!$P$89,CONCATENATE(C808,D808,E808))),ISERROR(FIND(Summary!$Q$89,A808))),Summary!$R$45,IF(H808&gt;Summary!$V$3,Summary!$R$46,Summary!$R$45))*(B808+30),0)</f>
        <v>102</v>
      </c>
      <c r="H808">
        <f>IF(H807&gt;Summary!$V$4,0,H807+F807)</f>
        <v>110730</v>
      </c>
      <c r="I808" s="26">
        <f>DATE(YEAR(Summary!$V$2),MONTH(Summary!$V$2),DAY(Summary!$V$2)+INT(H808/480))</f>
        <v>43820</v>
      </c>
      <c r="J808" s="27">
        <f t="shared" si="13"/>
        <v>0.5625</v>
      </c>
    </row>
    <row r="809" spans="1:10">
      <c r="A809" t="str">
        <f>VLOOKUP(Summary!M808,Summary!$P$13:$Q$24,2)</f>
        <v>B1700-plum</v>
      </c>
      <c r="B809">
        <f>ROUND(NORMINV(Summary!M810,VLOOKUP(A809,Summary!$Q$13:$S$24,3,FALSE),VLOOKUP(A809,Summary!$Q$13:$S$24,3,FALSE)/6),-1)</f>
        <v>330</v>
      </c>
      <c r="C809" t="str">
        <f>IF(AND(H809=0,C808=Summary!$P$2),Summary!$Q$2,IF(AND(H809=0,C808=Summary!$Q$2),Summary!$R$2,C808))</f>
        <v>Reed</v>
      </c>
      <c r="D809" t="str">
        <f>IF(C809=Summary!$P$26,VLOOKUP(Summary!M816,Summary!$Q$26:$R$27,2),IF('Run Data'!C809=Summary!$P$28,VLOOKUP(Summary!M816,Summary!$Q$28:$R$29,2),VLOOKUP(Summary!M816,Summary!$Q$30:$R$32,2)))</f>
        <v>Sprig 4</v>
      </c>
      <c r="E809" t="str">
        <f>VLOOKUP(Summary!M819,Summary!$P$42:$Q$43,2)</f>
        <v>86</v>
      </c>
      <c r="F809">
        <f>IF(LEFT(A809,3)="B60",20,IF(LEFT(A809,3)="B12",30,25))+B809*0.5+INT(Summary!M822*20)</f>
        <v>199</v>
      </c>
      <c r="G809">
        <f>ROUND(IF(OR(ISERROR(FIND(Summary!$P$89,CONCATENATE(C809,D809,E809))),ISERROR(FIND(Summary!$Q$89,A809))),Summary!$R$45,IF(H809&gt;Summary!$V$3,Summary!$R$46,Summary!$R$45))*(B809+30),0)</f>
        <v>43</v>
      </c>
      <c r="H809">
        <f>IF(H808&gt;Summary!$V$4,0,H808+F808)</f>
        <v>111173</v>
      </c>
      <c r="I809" s="26">
        <f>DATE(YEAR(Summary!$V$2),MONTH(Summary!$V$2),DAY(Summary!$V$2)+INT(H809/480))</f>
        <v>43821</v>
      </c>
      <c r="J809" s="27">
        <f t="shared" si="13"/>
        <v>0.53680555555555554</v>
      </c>
    </row>
    <row r="810" spans="1:10">
      <c r="A810" t="str">
        <f>VLOOKUP(Summary!M809,Summary!$P$13:$Q$24,2)</f>
        <v>B1700-plum</v>
      </c>
      <c r="B810">
        <f>ROUND(NORMINV(Summary!M811,VLOOKUP(A810,Summary!$Q$13:$S$24,3,FALSE),VLOOKUP(A810,Summary!$Q$13:$S$24,3,FALSE)/6),-1)</f>
        <v>320</v>
      </c>
      <c r="C810" t="str">
        <f>IF(AND(H810=0,C809=Summary!$P$2),Summary!$Q$2,IF(AND(H810=0,C809=Summary!$Q$2),Summary!$R$2,C809))</f>
        <v>Reed</v>
      </c>
      <c r="D810" t="str">
        <f>IF(C810=Summary!$P$26,VLOOKUP(Summary!M817,Summary!$Q$26:$R$27,2),IF('Run Data'!C810=Summary!$P$28,VLOOKUP(Summary!M817,Summary!$Q$28:$R$29,2),VLOOKUP(Summary!M817,Summary!$Q$30:$R$32,2)))</f>
        <v>Sprig 2</v>
      </c>
      <c r="E810" t="str">
        <f>VLOOKUP(Summary!M820,Summary!$P$42:$Q$43,2)</f>
        <v>86</v>
      </c>
      <c r="F810">
        <f>IF(LEFT(A810,3)="B60",20,IF(LEFT(A810,3)="B12",30,25))+B810*0.5+INT(Summary!M823*20)</f>
        <v>204</v>
      </c>
      <c r="G810">
        <f>ROUND(IF(OR(ISERROR(FIND(Summary!$P$89,CONCATENATE(C810,D810,E810))),ISERROR(FIND(Summary!$Q$89,A810))),Summary!$R$45,IF(H810&gt;Summary!$V$3,Summary!$R$46,Summary!$R$45))*(B810+30),0)</f>
        <v>42</v>
      </c>
      <c r="H810">
        <f>IF(H809&gt;Summary!$V$4,0,H809+F809)</f>
        <v>111372</v>
      </c>
      <c r="I810" s="26">
        <f>DATE(YEAR(Summary!$V$2),MONTH(Summary!$V$2),DAY(Summary!$V$2)+INT(H810/480))</f>
        <v>43822</v>
      </c>
      <c r="J810" s="27">
        <f t="shared" si="13"/>
        <v>0.34166666666666662</v>
      </c>
    </row>
    <row r="811" spans="1:10">
      <c r="A811" t="str">
        <f>VLOOKUP(Summary!M810,Summary!$P$13:$Q$24,2)</f>
        <v>B1700-plum</v>
      </c>
      <c r="B811">
        <f>ROUND(NORMINV(Summary!M812,VLOOKUP(A811,Summary!$Q$13:$S$24,3,FALSE),VLOOKUP(A811,Summary!$Q$13:$S$24,3,FALSE)/6),-1)</f>
        <v>310</v>
      </c>
      <c r="C811" t="str">
        <f>IF(AND(H811=0,C810=Summary!$P$2),Summary!$Q$2,IF(AND(H811=0,C810=Summary!$Q$2),Summary!$R$2,C810))</f>
        <v>Reed</v>
      </c>
      <c r="D811" t="str">
        <f>IF(C811=Summary!$P$26,VLOOKUP(Summary!M818,Summary!$Q$26:$R$27,2),IF('Run Data'!C811=Summary!$P$28,VLOOKUP(Summary!M818,Summary!$Q$28:$R$29,2),VLOOKUP(Summary!M818,Summary!$Q$30:$R$32,2)))</f>
        <v>Sprig 4</v>
      </c>
      <c r="E811" t="str">
        <f>VLOOKUP(Summary!M821,Summary!$P$42:$Q$43,2)</f>
        <v>86</v>
      </c>
      <c r="F811">
        <f>IF(LEFT(A811,3)="B60",20,IF(LEFT(A811,3)="B12",30,25))+B811*0.5+INT(Summary!M824*20)</f>
        <v>190</v>
      </c>
      <c r="G811">
        <f>ROUND(IF(OR(ISERROR(FIND(Summary!$P$89,CONCATENATE(C811,D811,E811))),ISERROR(FIND(Summary!$Q$89,A811))),Summary!$R$45,IF(H811&gt;Summary!$V$3,Summary!$R$46,Summary!$R$45))*(B811+30),0)</f>
        <v>41</v>
      </c>
      <c r="H811">
        <f>IF(H810&gt;Summary!$V$4,0,H810+F810)</f>
        <v>111576</v>
      </c>
      <c r="I811" s="26">
        <f>DATE(YEAR(Summary!$V$2),MONTH(Summary!$V$2),DAY(Summary!$V$2)+INT(H811/480))</f>
        <v>43822</v>
      </c>
      <c r="J811" s="27">
        <f t="shared" si="13"/>
        <v>0.48333333333333334</v>
      </c>
    </row>
    <row r="812" spans="1:10">
      <c r="A812" t="str">
        <f>VLOOKUP(Summary!M811,Summary!$P$13:$Q$24,2)</f>
        <v>B1200-lime</v>
      </c>
      <c r="B812">
        <f>ROUND(NORMINV(Summary!M813,VLOOKUP(A812,Summary!$Q$13:$S$24,3,FALSE),VLOOKUP(A812,Summary!$Q$13:$S$24,3,FALSE)/6),-1)</f>
        <v>820</v>
      </c>
      <c r="C812" t="str">
        <f>IF(AND(H812=0,C811=Summary!$P$2),Summary!$Q$2,IF(AND(H812=0,C811=Summary!$Q$2),Summary!$R$2,C811))</f>
        <v>Reed</v>
      </c>
      <c r="D812" t="str">
        <f>IF(C812=Summary!$P$26,VLOOKUP(Summary!M819,Summary!$Q$26:$R$27,2),IF('Run Data'!C812=Summary!$P$28,VLOOKUP(Summary!M819,Summary!$Q$28:$R$29,2),VLOOKUP(Summary!M819,Summary!$Q$30:$R$32,2)))</f>
        <v>Sprig 4</v>
      </c>
      <c r="E812" t="str">
        <f>VLOOKUP(Summary!M822,Summary!$P$42:$Q$43,2)</f>
        <v>86</v>
      </c>
      <c r="F812">
        <f>IF(LEFT(A812,3)="B60",20,IF(LEFT(A812,3)="B12",30,25))+B812*0.5+INT(Summary!M825*20)</f>
        <v>456</v>
      </c>
      <c r="G812">
        <f>ROUND(IF(OR(ISERROR(FIND(Summary!$P$89,CONCATENATE(C812,D812,E812))),ISERROR(FIND(Summary!$Q$89,A812))),Summary!$R$45,IF(H812&gt;Summary!$V$3,Summary!$R$46,Summary!$R$45))*(B812+30),0)</f>
        <v>9</v>
      </c>
      <c r="H812">
        <f>IF(H811&gt;Summary!$V$4,0,H811+F811)</f>
        <v>111766</v>
      </c>
      <c r="I812" s="26">
        <f>DATE(YEAR(Summary!$V$2),MONTH(Summary!$V$2),DAY(Summary!$V$2)+INT(H812/480))</f>
        <v>43822</v>
      </c>
      <c r="J812" s="27">
        <f t="shared" si="13"/>
        <v>0.61527777777777781</v>
      </c>
    </row>
    <row r="813" spans="1:10">
      <c r="A813" t="str">
        <f>VLOOKUP(Summary!M812,Summary!$P$13:$Q$24,2)</f>
        <v>B1200-lime</v>
      </c>
      <c r="B813">
        <f>ROUND(NORMINV(Summary!M814,VLOOKUP(A813,Summary!$Q$13:$S$24,3,FALSE),VLOOKUP(A813,Summary!$Q$13:$S$24,3,FALSE)/6),-1)</f>
        <v>870</v>
      </c>
      <c r="C813" t="str">
        <f>IF(AND(H813=0,C812=Summary!$P$2),Summary!$Q$2,IF(AND(H813=0,C812=Summary!$Q$2),Summary!$R$2,C812))</f>
        <v>Reed</v>
      </c>
      <c r="D813" t="str">
        <f>IF(C813=Summary!$P$26,VLOOKUP(Summary!M820,Summary!$Q$26:$R$27,2),IF('Run Data'!C813=Summary!$P$28,VLOOKUP(Summary!M820,Summary!$Q$28:$R$29,2),VLOOKUP(Summary!M820,Summary!$Q$30:$R$32,2)))</f>
        <v>Sprig 2</v>
      </c>
      <c r="E813" t="str">
        <f>VLOOKUP(Summary!M823,Summary!$P$42:$Q$43,2)</f>
        <v>87b</v>
      </c>
      <c r="F813">
        <f>IF(LEFT(A813,3)="B60",20,IF(LEFT(A813,3)="B12",30,25))+B813*0.5+INT(Summary!M826*20)</f>
        <v>465</v>
      </c>
      <c r="G813">
        <f>ROUND(IF(OR(ISERROR(FIND(Summary!$P$89,CONCATENATE(C813,D813,E813))),ISERROR(FIND(Summary!$Q$89,A813))),Summary!$R$45,IF(H813&gt;Summary!$V$3,Summary!$R$46,Summary!$R$45))*(B813+30),0)</f>
        <v>9</v>
      </c>
      <c r="H813">
        <f>IF(H812&gt;Summary!$V$4,0,H812+F812)</f>
        <v>112222</v>
      </c>
      <c r="I813" s="26">
        <f>DATE(YEAR(Summary!$V$2),MONTH(Summary!$V$2),DAY(Summary!$V$2)+INT(H813/480))</f>
        <v>43823</v>
      </c>
      <c r="J813" s="27">
        <f t="shared" si="13"/>
        <v>0.59861111111111109</v>
      </c>
    </row>
    <row r="814" spans="1:10">
      <c r="A814" t="str">
        <f>VLOOKUP(Summary!M813,Summary!$P$13:$Q$24,2)</f>
        <v>B1200-fire</v>
      </c>
      <c r="B814">
        <f>ROUND(NORMINV(Summary!M815,VLOOKUP(A814,Summary!$Q$13:$S$24,3,FALSE),VLOOKUP(A814,Summary!$Q$13:$S$24,3,FALSE)/6),-1)</f>
        <v>1280</v>
      </c>
      <c r="C814" t="str">
        <f>IF(AND(H814=0,C813=Summary!$P$2),Summary!$Q$2,IF(AND(H814=0,C813=Summary!$Q$2),Summary!$R$2,C813))</f>
        <v>Reed</v>
      </c>
      <c r="D814" t="str">
        <f>IF(C814=Summary!$P$26,VLOOKUP(Summary!M821,Summary!$Q$26:$R$27,2),IF('Run Data'!C814=Summary!$P$28,VLOOKUP(Summary!M821,Summary!$Q$28:$R$29,2),VLOOKUP(Summary!M821,Summary!$Q$30:$R$32,2)))</f>
        <v>Sprig 2</v>
      </c>
      <c r="E814" t="str">
        <f>VLOOKUP(Summary!M824,Summary!$P$42:$Q$43,2)</f>
        <v>86</v>
      </c>
      <c r="F814">
        <f>IF(LEFT(A814,3)="B60",20,IF(LEFT(A814,3)="B12",30,25))+B814*0.5+INT(Summary!M827*20)</f>
        <v>671</v>
      </c>
      <c r="G814">
        <f>ROUND(IF(OR(ISERROR(FIND(Summary!$P$89,CONCATENATE(C814,D814,E814))),ISERROR(FIND(Summary!$Q$89,A814))),Summary!$R$45,IF(H814&gt;Summary!$V$3,Summary!$R$46,Summary!$R$45))*(B814+30),0)</f>
        <v>13</v>
      </c>
      <c r="H814">
        <f>IF(H813&gt;Summary!$V$4,0,H813+F813)</f>
        <v>112687</v>
      </c>
      <c r="I814" s="26">
        <f>DATE(YEAR(Summary!$V$2),MONTH(Summary!$V$2),DAY(Summary!$V$2)+INT(H814/480))</f>
        <v>43824</v>
      </c>
      <c r="J814" s="27">
        <f t="shared" si="13"/>
        <v>0.58819444444444446</v>
      </c>
    </row>
    <row r="815" spans="1:10">
      <c r="A815" t="str">
        <f>VLOOKUP(Summary!M814,Summary!$P$13:$Q$24,2)</f>
        <v>B1200-lime</v>
      </c>
      <c r="B815">
        <f>ROUND(NORMINV(Summary!M816,VLOOKUP(A815,Summary!$Q$13:$S$24,3,FALSE),VLOOKUP(A815,Summary!$Q$13:$S$24,3,FALSE)/6),-1)</f>
        <v>970</v>
      </c>
      <c r="C815" t="str">
        <f>IF(AND(H815=0,C814=Summary!$P$2),Summary!$Q$2,IF(AND(H815=0,C814=Summary!$Q$2),Summary!$R$2,C814))</f>
        <v>Reed</v>
      </c>
      <c r="D815" t="str">
        <f>IF(C815=Summary!$P$26,VLOOKUP(Summary!M822,Summary!$Q$26:$R$27,2),IF('Run Data'!C815=Summary!$P$28,VLOOKUP(Summary!M822,Summary!$Q$28:$R$29,2),VLOOKUP(Summary!M822,Summary!$Q$30:$R$32,2)))</f>
        <v>Sprig 2</v>
      </c>
      <c r="E815" t="str">
        <f>VLOOKUP(Summary!M825,Summary!$P$42:$Q$43,2)</f>
        <v>86</v>
      </c>
      <c r="F815">
        <f>IF(LEFT(A815,3)="B60",20,IF(LEFT(A815,3)="B12",30,25))+B815*0.5+INT(Summary!M828*20)</f>
        <v>528</v>
      </c>
      <c r="G815">
        <f>ROUND(IF(OR(ISERROR(FIND(Summary!$P$89,CONCATENATE(C815,D815,E815))),ISERROR(FIND(Summary!$Q$89,A815))),Summary!$R$45,IF(H815&gt;Summary!$V$3,Summary!$R$46,Summary!$R$45))*(B815+30),0)</f>
        <v>10</v>
      </c>
      <c r="H815">
        <f>IF(H814&gt;Summary!$V$4,0,H814+F814)</f>
        <v>113358</v>
      </c>
      <c r="I815" s="26">
        <f>DATE(YEAR(Summary!$V$2),MONTH(Summary!$V$2),DAY(Summary!$V$2)+INT(H815/480))</f>
        <v>43826</v>
      </c>
      <c r="J815" s="27">
        <f t="shared" si="13"/>
        <v>0.38750000000000001</v>
      </c>
    </row>
    <row r="816" spans="1:10">
      <c r="A816" t="str">
        <f>VLOOKUP(Summary!M815,Summary!$P$13:$Q$24,2)</f>
        <v>B1200-lime</v>
      </c>
      <c r="B816">
        <f>ROUND(NORMINV(Summary!M817,VLOOKUP(A816,Summary!$Q$13:$S$24,3,FALSE),VLOOKUP(A816,Summary!$Q$13:$S$24,3,FALSE)/6),-1)</f>
        <v>560</v>
      </c>
      <c r="C816" t="str">
        <f>IF(AND(H816=0,C815=Summary!$P$2),Summary!$Q$2,IF(AND(H816=0,C815=Summary!$Q$2),Summary!$R$2,C815))</f>
        <v>Reed</v>
      </c>
      <c r="D816" t="str">
        <f>IF(C816=Summary!$P$26,VLOOKUP(Summary!M823,Summary!$Q$26:$R$27,2),IF('Run Data'!C816=Summary!$P$28,VLOOKUP(Summary!M823,Summary!$Q$28:$R$29,2),VLOOKUP(Summary!M823,Summary!$Q$30:$R$32,2)))</f>
        <v>Sprig 4</v>
      </c>
      <c r="E816" t="str">
        <f>VLOOKUP(Summary!M826,Summary!$P$42:$Q$43,2)</f>
        <v>86</v>
      </c>
      <c r="F816">
        <f>IF(LEFT(A816,3)="B60",20,IF(LEFT(A816,3)="B12",30,25))+B816*0.5+INT(Summary!M829*20)</f>
        <v>310</v>
      </c>
      <c r="G816">
        <f>ROUND(IF(OR(ISERROR(FIND(Summary!$P$89,CONCATENATE(C816,D816,E816))),ISERROR(FIND(Summary!$Q$89,A816))),Summary!$R$45,IF(H816&gt;Summary!$V$3,Summary!$R$46,Summary!$R$45))*(B816+30),0)</f>
        <v>6</v>
      </c>
      <c r="H816">
        <f>IF(H815&gt;Summary!$V$4,0,H815+F815)</f>
        <v>113886</v>
      </c>
      <c r="I816" s="26">
        <f>DATE(YEAR(Summary!$V$2),MONTH(Summary!$V$2),DAY(Summary!$V$2)+INT(H816/480))</f>
        <v>43827</v>
      </c>
      <c r="J816" s="27">
        <f t="shared" si="13"/>
        <v>0.42083333333333334</v>
      </c>
    </row>
    <row r="817" spans="1:10">
      <c r="A817" t="str">
        <f>VLOOKUP(Summary!M816,Summary!$P$13:$Q$24,2)</f>
        <v>B1700-fire</v>
      </c>
      <c r="B817">
        <f>ROUND(NORMINV(Summary!M818,VLOOKUP(A817,Summary!$Q$13:$S$24,3,FALSE),VLOOKUP(A817,Summary!$Q$13:$S$24,3,FALSE)/6),-1)</f>
        <v>880</v>
      </c>
      <c r="C817" t="str">
        <f>IF(AND(H817=0,C816=Summary!$P$2),Summary!$Q$2,IF(AND(H817=0,C816=Summary!$Q$2),Summary!$R$2,C816))</f>
        <v>Reed</v>
      </c>
      <c r="D817" t="str">
        <f>IF(C817=Summary!$P$26,VLOOKUP(Summary!M824,Summary!$Q$26:$R$27,2),IF('Run Data'!C817=Summary!$P$28,VLOOKUP(Summary!M824,Summary!$Q$28:$R$29,2),VLOOKUP(Summary!M824,Summary!$Q$30:$R$32,2)))</f>
        <v>Sprig 2</v>
      </c>
      <c r="E817" t="str">
        <f>VLOOKUP(Summary!M827,Summary!$P$42:$Q$43,2)</f>
        <v>86</v>
      </c>
      <c r="F817">
        <f>IF(LEFT(A817,3)="B60",20,IF(LEFT(A817,3)="B12",30,25))+B817*0.5+INT(Summary!M830*20)</f>
        <v>469</v>
      </c>
      <c r="G817">
        <f>ROUND(IF(OR(ISERROR(FIND(Summary!$P$89,CONCATENATE(C817,D817,E817))),ISERROR(FIND(Summary!$Q$89,A817))),Summary!$R$45,IF(H817&gt;Summary!$V$3,Summary!$R$46,Summary!$R$45))*(B817+30),0)</f>
        <v>109</v>
      </c>
      <c r="H817">
        <f>IF(H816&gt;Summary!$V$4,0,H816+F816)</f>
        <v>114196</v>
      </c>
      <c r="I817" s="26">
        <f>DATE(YEAR(Summary!$V$2),MONTH(Summary!$V$2),DAY(Summary!$V$2)+INT(H817/480))</f>
        <v>43827</v>
      </c>
      <c r="J817" s="27">
        <f t="shared" si="13"/>
        <v>0.63611111111111118</v>
      </c>
    </row>
    <row r="818" spans="1:10">
      <c r="A818" t="str">
        <f>VLOOKUP(Summary!M817,Summary!$P$13:$Q$24,2)</f>
        <v>B600-plum</v>
      </c>
      <c r="B818">
        <f>ROUND(NORMINV(Summary!M819,VLOOKUP(A818,Summary!$Q$13:$S$24,3,FALSE),VLOOKUP(A818,Summary!$Q$13:$S$24,3,FALSE)/6),-1)</f>
        <v>230</v>
      </c>
      <c r="C818" t="str">
        <f>IF(AND(H818=0,C817=Summary!$P$2),Summary!$Q$2,IF(AND(H818=0,C817=Summary!$Q$2),Summary!$R$2,C817))</f>
        <v>Reed</v>
      </c>
      <c r="D818" t="str">
        <f>IF(C818=Summary!$P$26,VLOOKUP(Summary!M825,Summary!$Q$26:$R$27,2),IF('Run Data'!C818=Summary!$P$28,VLOOKUP(Summary!M825,Summary!$Q$28:$R$29,2),VLOOKUP(Summary!M825,Summary!$Q$30:$R$32,2)))</f>
        <v>Sprig 4</v>
      </c>
      <c r="E818" t="str">
        <f>VLOOKUP(Summary!M828,Summary!$P$42:$Q$43,2)</f>
        <v>86</v>
      </c>
      <c r="F818">
        <f>IF(LEFT(A818,3)="B60",20,IF(LEFT(A818,3)="B12",30,25))+B818*0.5+INT(Summary!M831*20)</f>
        <v>140</v>
      </c>
      <c r="G818">
        <f>ROUND(IF(OR(ISERROR(FIND(Summary!$P$89,CONCATENATE(C818,D818,E818))),ISERROR(FIND(Summary!$Q$89,A818))),Summary!$R$45,IF(H818&gt;Summary!$V$3,Summary!$R$46,Summary!$R$45))*(B818+30),0)</f>
        <v>3</v>
      </c>
      <c r="H818">
        <f>IF(H817&gt;Summary!$V$4,0,H817+F817)</f>
        <v>114665</v>
      </c>
      <c r="I818" s="26">
        <f>DATE(YEAR(Summary!$V$2),MONTH(Summary!$V$2),DAY(Summary!$V$2)+INT(H818/480))</f>
        <v>43828</v>
      </c>
      <c r="J818" s="27">
        <f t="shared" si="13"/>
        <v>0.62847222222222221</v>
      </c>
    </row>
    <row r="819" spans="1:10">
      <c r="A819" t="str">
        <f>VLOOKUP(Summary!M818,Summary!$P$13:$Q$24,2)</f>
        <v>B1700-sky</v>
      </c>
      <c r="B819">
        <f>ROUND(NORMINV(Summary!M820,VLOOKUP(A819,Summary!$Q$13:$S$24,3,FALSE),VLOOKUP(A819,Summary!$Q$13:$S$24,3,FALSE)/6),-1)</f>
        <v>450</v>
      </c>
      <c r="C819" t="str">
        <f>IF(AND(H819=0,C818=Summary!$P$2),Summary!$Q$2,IF(AND(H819=0,C818=Summary!$Q$2),Summary!$R$2,C818))</f>
        <v>Reed</v>
      </c>
      <c r="D819" t="str">
        <f>IF(C819=Summary!$P$26,VLOOKUP(Summary!M826,Summary!$Q$26:$R$27,2),IF('Run Data'!C819=Summary!$P$28,VLOOKUP(Summary!M826,Summary!$Q$28:$R$29,2),VLOOKUP(Summary!M826,Summary!$Q$30:$R$32,2)))</f>
        <v>Sprig 2</v>
      </c>
      <c r="E819" t="str">
        <f>VLOOKUP(Summary!M829,Summary!$P$42:$Q$43,2)</f>
        <v>86</v>
      </c>
      <c r="F819">
        <f>IF(LEFT(A819,3)="B60",20,IF(LEFT(A819,3)="B12",30,25))+B819*0.5+INT(Summary!M832*20)</f>
        <v>268</v>
      </c>
      <c r="G819">
        <f>ROUND(IF(OR(ISERROR(FIND(Summary!$P$89,CONCATENATE(C819,D819,E819))),ISERROR(FIND(Summary!$Q$89,A819))),Summary!$R$45,IF(H819&gt;Summary!$V$3,Summary!$R$46,Summary!$R$45))*(B819+30),0)</f>
        <v>58</v>
      </c>
      <c r="H819">
        <f>IF(H818&gt;Summary!$V$4,0,H818+F818)</f>
        <v>114805</v>
      </c>
      <c r="I819" s="26">
        <f>DATE(YEAR(Summary!$V$2),MONTH(Summary!$V$2),DAY(Summary!$V$2)+INT(H819/480))</f>
        <v>43829</v>
      </c>
      <c r="J819" s="27">
        <f t="shared" si="13"/>
        <v>0.3923611111111111</v>
      </c>
    </row>
    <row r="820" spans="1:10">
      <c r="A820" t="str">
        <f>VLOOKUP(Summary!M819,Summary!$P$13:$Q$24,2)</f>
        <v>B1700-sky</v>
      </c>
      <c r="B820">
        <f>ROUND(NORMINV(Summary!M821,VLOOKUP(A820,Summary!$Q$13:$S$24,3,FALSE),VLOOKUP(A820,Summary!$Q$13:$S$24,3,FALSE)/6),-1)</f>
        <v>530</v>
      </c>
      <c r="C820" t="str">
        <f>IF(AND(H820=0,C819=Summary!$P$2),Summary!$Q$2,IF(AND(H820=0,C819=Summary!$Q$2),Summary!$R$2,C819))</f>
        <v>Reed</v>
      </c>
      <c r="D820" t="str">
        <f>IF(C820=Summary!$P$26,VLOOKUP(Summary!M827,Summary!$Q$26:$R$27,2),IF('Run Data'!C820=Summary!$P$28,VLOOKUP(Summary!M827,Summary!$Q$28:$R$29,2),VLOOKUP(Summary!M827,Summary!$Q$30:$R$32,2)))</f>
        <v>Sprig 2</v>
      </c>
      <c r="E820" t="str">
        <f>VLOOKUP(Summary!M830,Summary!$P$42:$Q$43,2)</f>
        <v>86</v>
      </c>
      <c r="F820">
        <f>IF(LEFT(A820,3)="B60",20,IF(LEFT(A820,3)="B12",30,25))+B820*0.5+INT(Summary!M833*20)</f>
        <v>300</v>
      </c>
      <c r="G820">
        <f>ROUND(IF(OR(ISERROR(FIND(Summary!$P$89,CONCATENATE(C820,D820,E820))),ISERROR(FIND(Summary!$Q$89,A820))),Summary!$R$45,IF(H820&gt;Summary!$V$3,Summary!$R$46,Summary!$R$45))*(B820+30),0)</f>
        <v>67</v>
      </c>
      <c r="H820">
        <f>IF(H819&gt;Summary!$V$4,0,H819+F819)</f>
        <v>115073</v>
      </c>
      <c r="I820" s="26">
        <f>DATE(YEAR(Summary!$V$2),MONTH(Summary!$V$2),DAY(Summary!$V$2)+INT(H820/480))</f>
        <v>43829</v>
      </c>
      <c r="J820" s="27">
        <f t="shared" si="13"/>
        <v>0.57847222222222217</v>
      </c>
    </row>
    <row r="821" spans="1:10">
      <c r="A821" t="str">
        <f>VLOOKUP(Summary!M820,Summary!$P$13:$Q$24,2)</f>
        <v>B600-fire</v>
      </c>
      <c r="B821">
        <f>ROUND(NORMINV(Summary!M822,VLOOKUP(A821,Summary!$Q$13:$S$24,3,FALSE),VLOOKUP(A821,Summary!$Q$13:$S$24,3,FALSE)/6),-1)</f>
        <v>390</v>
      </c>
      <c r="C821" t="str">
        <f>IF(AND(H821=0,C820=Summary!$P$2),Summary!$Q$2,IF(AND(H821=0,C820=Summary!$Q$2),Summary!$R$2,C820))</f>
        <v>Reed</v>
      </c>
      <c r="D821" t="str">
        <f>IF(C821=Summary!$P$26,VLOOKUP(Summary!M828,Summary!$Q$26:$R$27,2),IF('Run Data'!C821=Summary!$P$28,VLOOKUP(Summary!M828,Summary!$Q$28:$R$29,2),VLOOKUP(Summary!M828,Summary!$Q$30:$R$32,2)))</f>
        <v>Sprig 2</v>
      </c>
      <c r="E821" t="str">
        <f>VLOOKUP(Summary!M831,Summary!$P$42:$Q$43,2)</f>
        <v>86</v>
      </c>
      <c r="F821">
        <f>IF(LEFT(A821,3)="B60",20,IF(LEFT(A821,3)="B12",30,25))+B821*0.5+INT(Summary!M834*20)</f>
        <v>218</v>
      </c>
      <c r="G821">
        <f>ROUND(IF(OR(ISERROR(FIND(Summary!$P$89,CONCATENATE(C821,D821,E821))),ISERROR(FIND(Summary!$Q$89,A821))),Summary!$R$45,IF(H821&gt;Summary!$V$3,Summary!$R$46,Summary!$R$45))*(B821+30),0)</f>
        <v>4</v>
      </c>
      <c r="H821">
        <f>IF(H820&gt;Summary!$V$4,0,H820+F820)</f>
        <v>115373</v>
      </c>
      <c r="I821" s="26">
        <f>DATE(YEAR(Summary!$V$2),MONTH(Summary!$V$2),DAY(Summary!$V$2)+INT(H821/480))</f>
        <v>43830</v>
      </c>
      <c r="J821" s="27">
        <f t="shared" si="13"/>
        <v>0.45347222222222222</v>
      </c>
    </row>
    <row r="822" spans="1:10">
      <c r="A822" t="str">
        <f>VLOOKUP(Summary!M821,Summary!$P$13:$Q$24,2)</f>
        <v>B1200-sky</v>
      </c>
      <c r="B822">
        <f>ROUND(NORMINV(Summary!M823,VLOOKUP(A822,Summary!$Q$13:$S$24,3,FALSE),VLOOKUP(A822,Summary!$Q$13:$S$24,3,FALSE)/6),-1)</f>
        <v>1650</v>
      </c>
      <c r="C822" t="str">
        <f>IF(AND(H822=0,C821=Summary!$P$2),Summary!$Q$2,IF(AND(H822=0,C821=Summary!$Q$2),Summary!$R$2,C821))</f>
        <v>Reed</v>
      </c>
      <c r="D822" t="str">
        <f>IF(C822=Summary!$P$26,VLOOKUP(Summary!M829,Summary!$Q$26:$R$27,2),IF('Run Data'!C822=Summary!$P$28,VLOOKUP(Summary!M829,Summary!$Q$28:$R$29,2),VLOOKUP(Summary!M829,Summary!$Q$30:$R$32,2)))</f>
        <v>Sprig 2</v>
      </c>
      <c r="E822" t="str">
        <f>VLOOKUP(Summary!M832,Summary!$P$42:$Q$43,2)</f>
        <v>87b</v>
      </c>
      <c r="F822">
        <f>IF(LEFT(A822,3)="B60",20,IF(LEFT(A822,3)="B12",30,25))+B822*0.5+INT(Summary!M835*20)</f>
        <v>859</v>
      </c>
      <c r="G822">
        <f>ROUND(IF(OR(ISERROR(FIND(Summary!$P$89,CONCATENATE(C822,D822,E822))),ISERROR(FIND(Summary!$Q$89,A822))),Summary!$R$45,IF(H822&gt;Summary!$V$3,Summary!$R$46,Summary!$R$45))*(B822+30),0)</f>
        <v>17</v>
      </c>
      <c r="H822">
        <f>IF(H821&gt;Summary!$V$4,0,H821+F821)</f>
        <v>115591</v>
      </c>
      <c r="I822" s="26">
        <f>DATE(YEAR(Summary!$V$2),MONTH(Summary!$V$2),DAY(Summary!$V$2)+INT(H822/480))</f>
        <v>43830</v>
      </c>
      <c r="J822" s="27">
        <f t="shared" si="13"/>
        <v>0.60486111111111118</v>
      </c>
    </row>
    <row r="823" spans="1:10">
      <c r="A823" t="str">
        <f>VLOOKUP(Summary!M822,Summary!$P$13:$Q$24,2)</f>
        <v>B1200-fire</v>
      </c>
      <c r="B823">
        <f>ROUND(NORMINV(Summary!M824,VLOOKUP(A823,Summary!$Q$13:$S$24,3,FALSE),VLOOKUP(A823,Summary!$Q$13:$S$24,3,FALSE)/6),-1)</f>
        <v>1200</v>
      </c>
      <c r="C823" t="str">
        <f>IF(AND(H823=0,C822=Summary!$P$2),Summary!$Q$2,IF(AND(H823=0,C822=Summary!$Q$2),Summary!$R$2,C822))</f>
        <v>Reed</v>
      </c>
      <c r="D823" t="str">
        <f>IF(C823=Summary!$P$26,VLOOKUP(Summary!M830,Summary!$Q$26:$R$27,2),IF('Run Data'!C823=Summary!$P$28,VLOOKUP(Summary!M830,Summary!$Q$28:$R$29,2),VLOOKUP(Summary!M830,Summary!$Q$30:$R$32,2)))</f>
        <v>Sprig 2</v>
      </c>
      <c r="E823" t="str">
        <f>VLOOKUP(Summary!M833,Summary!$P$42:$Q$43,2)</f>
        <v>86</v>
      </c>
      <c r="F823">
        <f>IF(LEFT(A823,3)="B60",20,IF(LEFT(A823,3)="B12",30,25))+B823*0.5+INT(Summary!M836*20)</f>
        <v>631</v>
      </c>
      <c r="G823">
        <f>ROUND(IF(OR(ISERROR(FIND(Summary!$P$89,CONCATENATE(C823,D823,E823))),ISERROR(FIND(Summary!$Q$89,A823))),Summary!$R$45,IF(H823&gt;Summary!$V$3,Summary!$R$46,Summary!$R$45))*(B823+30),0)</f>
        <v>12</v>
      </c>
      <c r="H823">
        <f>IF(H822&gt;Summary!$V$4,0,H822+F822)</f>
        <v>116450</v>
      </c>
      <c r="I823" s="26">
        <f>DATE(YEAR(Summary!$V$2),MONTH(Summary!$V$2),DAY(Summary!$V$2)+INT(H823/480))</f>
        <v>43832</v>
      </c>
      <c r="J823" s="27">
        <f t="shared" si="13"/>
        <v>0.53472222222222221</v>
      </c>
    </row>
    <row r="824" spans="1:10">
      <c r="A824" t="str">
        <f>VLOOKUP(Summary!M823,Summary!$P$13:$Q$24,2)</f>
        <v>B1700-lime</v>
      </c>
      <c r="B824">
        <f>ROUND(NORMINV(Summary!M825,VLOOKUP(A824,Summary!$Q$13:$S$24,3,FALSE),VLOOKUP(A824,Summary!$Q$13:$S$24,3,FALSE)/6),-1)</f>
        <v>470</v>
      </c>
      <c r="C824" t="str">
        <f>IF(AND(H824=0,C823=Summary!$P$2),Summary!$Q$2,IF(AND(H824=0,C823=Summary!$Q$2),Summary!$R$2,C823))</f>
        <v>Reed</v>
      </c>
      <c r="D824" t="str">
        <f>IF(C824=Summary!$P$26,VLOOKUP(Summary!M831,Summary!$Q$26:$R$27,2),IF('Run Data'!C824=Summary!$P$28,VLOOKUP(Summary!M831,Summary!$Q$28:$R$29,2),VLOOKUP(Summary!M831,Summary!$Q$30:$R$32,2)))</f>
        <v>Sprig 2</v>
      </c>
      <c r="E824" t="str">
        <f>VLOOKUP(Summary!M834,Summary!$P$42:$Q$43,2)</f>
        <v>86</v>
      </c>
      <c r="F824">
        <f>IF(LEFT(A824,3)="B60",20,IF(LEFT(A824,3)="B12",30,25))+B824*0.5+INT(Summary!M837*20)</f>
        <v>276</v>
      </c>
      <c r="G824">
        <f>ROUND(IF(OR(ISERROR(FIND(Summary!$P$89,CONCATENATE(C824,D824,E824))),ISERROR(FIND(Summary!$Q$89,A824))),Summary!$R$45,IF(H824&gt;Summary!$V$3,Summary!$R$46,Summary!$R$45))*(B824+30),0)</f>
        <v>60</v>
      </c>
      <c r="H824">
        <f>IF(H823&gt;Summary!$V$4,0,H823+F823)</f>
        <v>117081</v>
      </c>
      <c r="I824" s="26">
        <f>DATE(YEAR(Summary!$V$2),MONTH(Summary!$V$2),DAY(Summary!$V$2)+INT(H824/480))</f>
        <v>43833</v>
      </c>
      <c r="J824" s="27">
        <f t="shared" si="13"/>
        <v>0.63958333333333328</v>
      </c>
    </row>
    <row r="825" spans="1:10">
      <c r="A825" t="str">
        <f>VLOOKUP(Summary!M824,Summary!$P$13:$Q$24,2)</f>
        <v>B1200-fire</v>
      </c>
      <c r="B825">
        <f>ROUND(NORMINV(Summary!M826,VLOOKUP(A825,Summary!$Q$13:$S$24,3,FALSE),VLOOKUP(A825,Summary!$Q$13:$S$24,3,FALSE)/6),-1)</f>
        <v>490</v>
      </c>
      <c r="C825" t="str">
        <f>IF(AND(H825=0,C824=Summary!$P$2),Summary!$Q$2,IF(AND(H825=0,C824=Summary!$Q$2),Summary!$R$2,C824))</f>
        <v>Reed</v>
      </c>
      <c r="D825" t="str">
        <f>IF(C825=Summary!$P$26,VLOOKUP(Summary!M832,Summary!$Q$26:$R$27,2),IF('Run Data'!C825=Summary!$P$28,VLOOKUP(Summary!M832,Summary!$Q$28:$R$29,2),VLOOKUP(Summary!M832,Summary!$Q$30:$R$32,2)))</f>
        <v>Sprig 4</v>
      </c>
      <c r="E825" t="str">
        <f>VLOOKUP(Summary!M835,Summary!$P$42:$Q$43,2)</f>
        <v>86</v>
      </c>
      <c r="F825">
        <f>IF(LEFT(A825,3)="B60",20,IF(LEFT(A825,3)="B12",30,25))+B825*0.5+INT(Summary!M838*20)</f>
        <v>283</v>
      </c>
      <c r="G825">
        <f>ROUND(IF(OR(ISERROR(FIND(Summary!$P$89,CONCATENATE(C825,D825,E825))),ISERROR(FIND(Summary!$Q$89,A825))),Summary!$R$45,IF(H825&gt;Summary!$V$3,Summary!$R$46,Summary!$R$45))*(B825+30),0)</f>
        <v>5</v>
      </c>
      <c r="H825">
        <f>IF(H824&gt;Summary!$V$4,0,H824+F824)</f>
        <v>117357</v>
      </c>
      <c r="I825" s="26">
        <f>DATE(YEAR(Summary!$V$2),MONTH(Summary!$V$2),DAY(Summary!$V$2)+INT(H825/480))</f>
        <v>43834</v>
      </c>
      <c r="J825" s="27">
        <f t="shared" si="13"/>
        <v>0.49791666666666662</v>
      </c>
    </row>
    <row r="826" spans="1:10">
      <c r="A826" t="str">
        <f>VLOOKUP(Summary!M825,Summary!$P$13:$Q$24,2)</f>
        <v>B1700-sky</v>
      </c>
      <c r="B826">
        <f>ROUND(NORMINV(Summary!M827,VLOOKUP(A826,Summary!$Q$13:$S$24,3,FALSE),VLOOKUP(A826,Summary!$Q$13:$S$24,3,FALSE)/6),-1)</f>
        <v>430</v>
      </c>
      <c r="C826" t="str">
        <f>IF(AND(H826=0,C825=Summary!$P$2),Summary!$Q$2,IF(AND(H826=0,C825=Summary!$Q$2),Summary!$R$2,C825))</f>
        <v>Reed</v>
      </c>
      <c r="D826" t="str">
        <f>IF(C826=Summary!$P$26,VLOOKUP(Summary!M833,Summary!$Q$26:$R$27,2),IF('Run Data'!C826=Summary!$P$28,VLOOKUP(Summary!M833,Summary!$Q$28:$R$29,2),VLOOKUP(Summary!M833,Summary!$Q$30:$R$32,2)))</f>
        <v>Sprig 2</v>
      </c>
      <c r="E826" t="str">
        <f>VLOOKUP(Summary!M836,Summary!$P$42:$Q$43,2)</f>
        <v>86</v>
      </c>
      <c r="F826">
        <f>IF(LEFT(A826,3)="B60",20,IF(LEFT(A826,3)="B12",30,25))+B826*0.5+INT(Summary!M839*20)</f>
        <v>243</v>
      </c>
      <c r="G826">
        <f>ROUND(IF(OR(ISERROR(FIND(Summary!$P$89,CONCATENATE(C826,D826,E826))),ISERROR(FIND(Summary!$Q$89,A826))),Summary!$R$45,IF(H826&gt;Summary!$V$3,Summary!$R$46,Summary!$R$45))*(B826+30),0)</f>
        <v>55</v>
      </c>
      <c r="H826">
        <f>IF(H825&gt;Summary!$V$4,0,H825+F825)</f>
        <v>117640</v>
      </c>
      <c r="I826" s="26">
        <f>DATE(YEAR(Summary!$V$2),MONTH(Summary!$V$2),DAY(Summary!$V$2)+INT(H826/480))</f>
        <v>43835</v>
      </c>
      <c r="J826" s="27">
        <f t="shared" si="13"/>
        <v>0.3611111111111111</v>
      </c>
    </row>
    <row r="827" spans="1:10">
      <c r="A827" t="str">
        <f>VLOOKUP(Summary!M826,Summary!$P$13:$Q$24,2)</f>
        <v>B600-plum</v>
      </c>
      <c r="B827">
        <f>ROUND(NORMINV(Summary!M828,VLOOKUP(A827,Summary!$Q$13:$S$24,3,FALSE),VLOOKUP(A827,Summary!$Q$13:$S$24,3,FALSE)/6),-1)</f>
        <v>220</v>
      </c>
      <c r="C827" t="str">
        <f>IF(AND(H827=0,C826=Summary!$P$2),Summary!$Q$2,IF(AND(H827=0,C826=Summary!$Q$2),Summary!$R$2,C826))</f>
        <v>Reed</v>
      </c>
      <c r="D827" t="str">
        <f>IF(C827=Summary!$P$26,VLOOKUP(Summary!M834,Summary!$Q$26:$R$27,2),IF('Run Data'!C827=Summary!$P$28,VLOOKUP(Summary!M834,Summary!$Q$28:$R$29,2),VLOOKUP(Summary!M834,Summary!$Q$30:$R$32,2)))</f>
        <v>Sprig 2</v>
      </c>
      <c r="E827" t="str">
        <f>VLOOKUP(Summary!M837,Summary!$P$42:$Q$43,2)</f>
        <v>86</v>
      </c>
      <c r="F827">
        <f>IF(LEFT(A827,3)="B60",20,IF(LEFT(A827,3)="B12",30,25))+B827*0.5+INT(Summary!M840*20)</f>
        <v>144</v>
      </c>
      <c r="G827">
        <f>ROUND(IF(OR(ISERROR(FIND(Summary!$P$89,CONCATENATE(C827,D827,E827))),ISERROR(FIND(Summary!$Q$89,A827))),Summary!$R$45,IF(H827&gt;Summary!$V$3,Summary!$R$46,Summary!$R$45))*(B827+30),0)</f>
        <v>3</v>
      </c>
      <c r="H827">
        <f>IF(H826&gt;Summary!$V$4,0,H826+F826)</f>
        <v>117883</v>
      </c>
      <c r="I827" s="26">
        <f>DATE(YEAR(Summary!$V$2),MONTH(Summary!$V$2),DAY(Summary!$V$2)+INT(H827/480))</f>
        <v>43835</v>
      </c>
      <c r="J827" s="27">
        <f t="shared" si="13"/>
        <v>0.52986111111111112</v>
      </c>
    </row>
    <row r="828" spans="1:10">
      <c r="A828" t="str">
        <f>VLOOKUP(Summary!M827,Summary!$P$13:$Q$24,2)</f>
        <v>B600-sky</v>
      </c>
      <c r="B828">
        <f>ROUND(NORMINV(Summary!M829,VLOOKUP(A828,Summary!$Q$13:$S$24,3,FALSE),VLOOKUP(A828,Summary!$Q$13:$S$24,3,FALSE)/6),-1)</f>
        <v>340</v>
      </c>
      <c r="C828" t="str">
        <f>IF(AND(H828=0,C827=Summary!$P$2),Summary!$Q$2,IF(AND(H828=0,C827=Summary!$Q$2),Summary!$R$2,C827))</f>
        <v>Reed</v>
      </c>
      <c r="D828" t="str">
        <f>IF(C828=Summary!$P$26,VLOOKUP(Summary!M835,Summary!$Q$26:$R$27,2),IF('Run Data'!C828=Summary!$P$28,VLOOKUP(Summary!M835,Summary!$Q$28:$R$29,2),VLOOKUP(Summary!M835,Summary!$Q$30:$R$32,2)))</f>
        <v>Sprig 2</v>
      </c>
      <c r="E828" t="str">
        <f>VLOOKUP(Summary!M838,Summary!$P$42:$Q$43,2)</f>
        <v>86</v>
      </c>
      <c r="F828">
        <f>IF(LEFT(A828,3)="B60",20,IF(LEFT(A828,3)="B12",30,25))+B828*0.5+INT(Summary!M841*20)</f>
        <v>202</v>
      </c>
      <c r="G828">
        <f>ROUND(IF(OR(ISERROR(FIND(Summary!$P$89,CONCATENATE(C828,D828,E828))),ISERROR(FIND(Summary!$Q$89,A828))),Summary!$R$45,IF(H828&gt;Summary!$V$3,Summary!$R$46,Summary!$R$45))*(B828+30),0)</f>
        <v>4</v>
      </c>
      <c r="H828">
        <f>IF(H827&gt;Summary!$V$4,0,H827+F827)</f>
        <v>118027</v>
      </c>
      <c r="I828" s="26">
        <f>DATE(YEAR(Summary!$V$2),MONTH(Summary!$V$2),DAY(Summary!$V$2)+INT(H828/480))</f>
        <v>43835</v>
      </c>
      <c r="J828" s="27">
        <f t="shared" si="13"/>
        <v>0.62986111111111109</v>
      </c>
    </row>
    <row r="829" spans="1:10">
      <c r="A829" t="str">
        <f>VLOOKUP(Summary!M828,Summary!$P$13:$Q$24,2)</f>
        <v>B1200-lime</v>
      </c>
      <c r="B829">
        <f>ROUND(NORMINV(Summary!M830,VLOOKUP(A829,Summary!$Q$13:$S$24,3,FALSE),VLOOKUP(A829,Summary!$Q$13:$S$24,3,FALSE)/6),-1)</f>
        <v>700</v>
      </c>
      <c r="C829" t="str">
        <f>IF(AND(H829=0,C828=Summary!$P$2),Summary!$Q$2,IF(AND(H829=0,C828=Summary!$Q$2),Summary!$R$2,C828))</f>
        <v>Reed</v>
      </c>
      <c r="D829" t="str">
        <f>IF(C829=Summary!$P$26,VLOOKUP(Summary!M836,Summary!$Q$26:$R$27,2),IF('Run Data'!C829=Summary!$P$28,VLOOKUP(Summary!M836,Summary!$Q$28:$R$29,2),VLOOKUP(Summary!M836,Summary!$Q$30:$R$32,2)))</f>
        <v>Sprig 2</v>
      </c>
      <c r="E829" t="str">
        <f>VLOOKUP(Summary!M839,Summary!$P$42:$Q$43,2)</f>
        <v>86</v>
      </c>
      <c r="F829">
        <f>IF(LEFT(A829,3)="B60",20,IF(LEFT(A829,3)="B12",30,25))+B829*0.5+INT(Summary!M842*20)</f>
        <v>394</v>
      </c>
      <c r="G829">
        <f>ROUND(IF(OR(ISERROR(FIND(Summary!$P$89,CONCATENATE(C829,D829,E829))),ISERROR(FIND(Summary!$Q$89,A829))),Summary!$R$45,IF(H829&gt;Summary!$V$3,Summary!$R$46,Summary!$R$45))*(B829+30),0)</f>
        <v>7</v>
      </c>
      <c r="H829">
        <f>IF(H828&gt;Summary!$V$4,0,H828+F828)</f>
        <v>118229</v>
      </c>
      <c r="I829" s="26">
        <f>DATE(YEAR(Summary!$V$2),MONTH(Summary!$V$2),DAY(Summary!$V$2)+INT(H829/480))</f>
        <v>43836</v>
      </c>
      <c r="J829" s="27">
        <f t="shared" si="13"/>
        <v>0.4368055555555555</v>
      </c>
    </row>
    <row r="830" spans="1:10">
      <c r="A830" t="str">
        <f>VLOOKUP(Summary!M829,Summary!$P$13:$Q$24,2)</f>
        <v>B600-plum</v>
      </c>
      <c r="B830">
        <f>ROUND(NORMINV(Summary!M831,VLOOKUP(A830,Summary!$Q$13:$S$24,3,FALSE),VLOOKUP(A830,Summary!$Q$13:$S$24,3,FALSE)/6),-1)</f>
        <v>180</v>
      </c>
      <c r="C830" t="str">
        <f>IF(AND(H830=0,C829=Summary!$P$2),Summary!$Q$2,IF(AND(H830=0,C829=Summary!$Q$2),Summary!$R$2,C829))</f>
        <v>Reed</v>
      </c>
      <c r="D830" t="str">
        <f>IF(C830=Summary!$P$26,VLOOKUP(Summary!M837,Summary!$Q$26:$R$27,2),IF('Run Data'!C830=Summary!$P$28,VLOOKUP(Summary!M837,Summary!$Q$28:$R$29,2),VLOOKUP(Summary!M837,Summary!$Q$30:$R$32,2)))</f>
        <v>Sprig 4</v>
      </c>
      <c r="E830" t="str">
        <f>VLOOKUP(Summary!M840,Summary!$P$42:$Q$43,2)</f>
        <v>86</v>
      </c>
      <c r="F830">
        <f>IF(LEFT(A830,3)="B60",20,IF(LEFT(A830,3)="B12",30,25))+B830*0.5+INT(Summary!M843*20)</f>
        <v>125</v>
      </c>
      <c r="G830">
        <f>ROUND(IF(OR(ISERROR(FIND(Summary!$P$89,CONCATENATE(C830,D830,E830))),ISERROR(FIND(Summary!$Q$89,A830))),Summary!$R$45,IF(H830&gt;Summary!$V$3,Summary!$R$46,Summary!$R$45))*(B830+30),0)</f>
        <v>2</v>
      </c>
      <c r="H830">
        <f>IF(H829&gt;Summary!$V$4,0,H829+F829)</f>
        <v>118623</v>
      </c>
      <c r="I830" s="26">
        <f>DATE(YEAR(Summary!$V$2),MONTH(Summary!$V$2),DAY(Summary!$V$2)+INT(H830/480))</f>
        <v>43837</v>
      </c>
      <c r="J830" s="27">
        <f t="shared" si="13"/>
        <v>0.37708333333333338</v>
      </c>
    </row>
    <row r="831" spans="1:10">
      <c r="A831" t="str">
        <f>VLOOKUP(Summary!M830,Summary!$P$13:$Q$24,2)</f>
        <v>B1200-plum</v>
      </c>
      <c r="B831">
        <f>ROUND(NORMINV(Summary!M832,VLOOKUP(A831,Summary!$Q$13:$S$24,3,FALSE),VLOOKUP(A831,Summary!$Q$13:$S$24,3,FALSE)/6),-1)</f>
        <v>550</v>
      </c>
      <c r="C831" t="str">
        <f>IF(AND(H831=0,C830=Summary!$P$2),Summary!$Q$2,IF(AND(H831=0,C830=Summary!$Q$2),Summary!$R$2,C830))</f>
        <v>Reed</v>
      </c>
      <c r="D831" t="str">
        <f>IF(C831=Summary!$P$26,VLOOKUP(Summary!M838,Summary!$Q$26:$R$27,2),IF('Run Data'!C831=Summary!$P$28,VLOOKUP(Summary!M838,Summary!$Q$28:$R$29,2),VLOOKUP(Summary!M838,Summary!$Q$30:$R$32,2)))</f>
        <v>Sprig 2</v>
      </c>
      <c r="E831" t="str">
        <f>VLOOKUP(Summary!M841,Summary!$P$42:$Q$43,2)</f>
        <v>86</v>
      </c>
      <c r="F831">
        <f>IF(LEFT(A831,3)="B60",20,IF(LEFT(A831,3)="B12",30,25))+B831*0.5+INT(Summary!M844*20)</f>
        <v>313</v>
      </c>
      <c r="G831">
        <f>ROUND(IF(OR(ISERROR(FIND(Summary!$P$89,CONCATENATE(C831,D831,E831))),ISERROR(FIND(Summary!$Q$89,A831))),Summary!$R$45,IF(H831&gt;Summary!$V$3,Summary!$R$46,Summary!$R$45))*(B831+30),0)</f>
        <v>6</v>
      </c>
      <c r="H831">
        <f>IF(H830&gt;Summary!$V$4,0,H830+F830)</f>
        <v>118748</v>
      </c>
      <c r="I831" s="26">
        <f>DATE(YEAR(Summary!$V$2),MONTH(Summary!$V$2),DAY(Summary!$V$2)+INT(H831/480))</f>
        <v>43837</v>
      </c>
      <c r="J831" s="27">
        <f t="shared" si="13"/>
        <v>0.46388888888888885</v>
      </c>
    </row>
    <row r="832" spans="1:10">
      <c r="A832" t="str">
        <f>VLOOKUP(Summary!M831,Summary!$P$13:$Q$24,2)</f>
        <v>B1200-plum</v>
      </c>
      <c r="B832">
        <f>ROUND(NORMINV(Summary!M833,VLOOKUP(A832,Summary!$Q$13:$S$24,3,FALSE),VLOOKUP(A832,Summary!$Q$13:$S$24,3,FALSE)/6),-1)</f>
        <v>460</v>
      </c>
      <c r="C832" t="str">
        <f>IF(AND(H832=0,C831=Summary!$P$2),Summary!$Q$2,IF(AND(H832=0,C831=Summary!$Q$2),Summary!$R$2,C831))</f>
        <v>Reed</v>
      </c>
      <c r="D832" t="str">
        <f>IF(C832=Summary!$P$26,VLOOKUP(Summary!M839,Summary!$Q$26:$R$27,2),IF('Run Data'!C832=Summary!$P$28,VLOOKUP(Summary!M839,Summary!$Q$28:$R$29,2),VLOOKUP(Summary!M839,Summary!$Q$30:$R$32,2)))</f>
        <v>Sprig 2</v>
      </c>
      <c r="E832" t="str">
        <f>VLOOKUP(Summary!M842,Summary!$P$42:$Q$43,2)</f>
        <v>86</v>
      </c>
      <c r="F832">
        <f>IF(LEFT(A832,3)="B60",20,IF(LEFT(A832,3)="B12",30,25))+B832*0.5+INT(Summary!M845*20)</f>
        <v>273</v>
      </c>
      <c r="G832">
        <f>ROUND(IF(OR(ISERROR(FIND(Summary!$P$89,CONCATENATE(C832,D832,E832))),ISERROR(FIND(Summary!$Q$89,A832))),Summary!$R$45,IF(H832&gt;Summary!$V$3,Summary!$R$46,Summary!$R$45))*(B832+30),0)</f>
        <v>5</v>
      </c>
      <c r="H832">
        <f>IF(H831&gt;Summary!$V$4,0,H831+F831)</f>
        <v>119061</v>
      </c>
      <c r="I832" s="26">
        <f>DATE(YEAR(Summary!$V$2),MONTH(Summary!$V$2),DAY(Summary!$V$2)+INT(H832/480))</f>
        <v>43838</v>
      </c>
      <c r="J832" s="27">
        <f t="shared" si="13"/>
        <v>0.34791666666666665</v>
      </c>
    </row>
    <row r="833" spans="1:10">
      <c r="A833" t="str">
        <f>VLOOKUP(Summary!M832,Summary!$P$13:$Q$24,2)</f>
        <v>B1700-lime</v>
      </c>
      <c r="B833">
        <f>ROUND(NORMINV(Summary!M834,VLOOKUP(A833,Summary!$Q$13:$S$24,3,FALSE),VLOOKUP(A833,Summary!$Q$13:$S$24,3,FALSE)/6),-1)</f>
        <v>340</v>
      </c>
      <c r="C833" t="str">
        <f>IF(AND(H833=0,C832=Summary!$P$2),Summary!$Q$2,IF(AND(H833=0,C832=Summary!$Q$2),Summary!$R$2,C832))</f>
        <v>Reed</v>
      </c>
      <c r="D833" t="str">
        <f>IF(C833=Summary!$P$26,VLOOKUP(Summary!M840,Summary!$Q$26:$R$27,2),IF('Run Data'!C833=Summary!$P$28,VLOOKUP(Summary!M840,Summary!$Q$28:$R$29,2),VLOOKUP(Summary!M840,Summary!$Q$30:$R$32,2)))</f>
        <v>Sprig 2</v>
      </c>
      <c r="E833" t="str">
        <f>VLOOKUP(Summary!M843,Summary!$P$42:$Q$43,2)</f>
        <v>86</v>
      </c>
      <c r="F833">
        <f>IF(LEFT(A833,3)="B60",20,IF(LEFT(A833,3)="B12",30,25))+B833*0.5+INT(Summary!M846*20)</f>
        <v>200</v>
      </c>
      <c r="G833">
        <f>ROUND(IF(OR(ISERROR(FIND(Summary!$P$89,CONCATENATE(C833,D833,E833))),ISERROR(FIND(Summary!$Q$89,A833))),Summary!$R$45,IF(H833&gt;Summary!$V$3,Summary!$R$46,Summary!$R$45))*(B833+30),0)</f>
        <v>44</v>
      </c>
      <c r="H833">
        <f>IF(H832&gt;Summary!$V$4,0,H832+F832)</f>
        <v>119334</v>
      </c>
      <c r="I833" s="26">
        <f>DATE(YEAR(Summary!$V$2),MONTH(Summary!$V$2),DAY(Summary!$V$2)+INT(H833/480))</f>
        <v>43838</v>
      </c>
      <c r="J833" s="27">
        <f t="shared" si="13"/>
        <v>0.53749999999999998</v>
      </c>
    </row>
    <row r="834" spans="1:10">
      <c r="A834" t="str">
        <f>VLOOKUP(Summary!M833,Summary!$P$13:$Q$24,2)</f>
        <v>B1200-fire</v>
      </c>
      <c r="B834">
        <f>ROUND(NORMINV(Summary!M835,VLOOKUP(A834,Summary!$Q$13:$S$24,3,FALSE),VLOOKUP(A834,Summary!$Q$13:$S$24,3,FALSE)/6),-1)</f>
        <v>1030</v>
      </c>
      <c r="C834" t="str">
        <f>IF(AND(H834=0,C833=Summary!$P$2),Summary!$Q$2,IF(AND(H834=0,C833=Summary!$Q$2),Summary!$R$2,C833))</f>
        <v>Reed</v>
      </c>
      <c r="D834" t="str">
        <f>IF(C834=Summary!$P$26,VLOOKUP(Summary!M841,Summary!$Q$26:$R$27,2),IF('Run Data'!C834=Summary!$P$28,VLOOKUP(Summary!M841,Summary!$Q$28:$R$29,2),VLOOKUP(Summary!M841,Summary!$Q$30:$R$32,2)))</f>
        <v>Sprig 2</v>
      </c>
      <c r="E834" t="str">
        <f>VLOOKUP(Summary!M844,Summary!$P$42:$Q$43,2)</f>
        <v>86</v>
      </c>
      <c r="F834">
        <f>IF(LEFT(A834,3)="B60",20,IF(LEFT(A834,3)="B12",30,25))+B834*0.5+INT(Summary!M847*20)</f>
        <v>554</v>
      </c>
      <c r="G834">
        <f>ROUND(IF(OR(ISERROR(FIND(Summary!$P$89,CONCATENATE(C834,D834,E834))),ISERROR(FIND(Summary!$Q$89,A834))),Summary!$R$45,IF(H834&gt;Summary!$V$3,Summary!$R$46,Summary!$R$45))*(B834+30),0)</f>
        <v>11</v>
      </c>
      <c r="H834">
        <f>IF(H833&gt;Summary!$V$4,0,H833+F833)</f>
        <v>119534</v>
      </c>
      <c r="I834" s="26">
        <f>DATE(YEAR(Summary!$V$2),MONTH(Summary!$V$2),DAY(Summary!$V$2)+INT(H834/480))</f>
        <v>43839</v>
      </c>
      <c r="J834" s="27">
        <f t="shared" si="13"/>
        <v>0.3430555555555555</v>
      </c>
    </row>
    <row r="835" spans="1:10">
      <c r="A835" t="str">
        <f>VLOOKUP(Summary!M834,Summary!$P$13:$Q$24,2)</f>
        <v>B600-lime</v>
      </c>
      <c r="B835">
        <f>ROUND(NORMINV(Summary!M836,VLOOKUP(A835,Summary!$Q$13:$S$24,3,FALSE),VLOOKUP(A835,Summary!$Q$13:$S$24,3,FALSE)/6),-1)</f>
        <v>220</v>
      </c>
      <c r="C835" t="str">
        <f>IF(AND(H835=0,C834=Summary!$P$2),Summary!$Q$2,IF(AND(H835=0,C834=Summary!$Q$2),Summary!$R$2,C834))</f>
        <v>Reed</v>
      </c>
      <c r="D835" t="str">
        <f>IF(C835=Summary!$P$26,VLOOKUP(Summary!M842,Summary!$Q$26:$R$27,2),IF('Run Data'!C835=Summary!$P$28,VLOOKUP(Summary!M842,Summary!$Q$28:$R$29,2),VLOOKUP(Summary!M842,Summary!$Q$30:$R$32,2)))</f>
        <v>Sprig 2</v>
      </c>
      <c r="E835" t="str">
        <f>VLOOKUP(Summary!M845,Summary!$P$42:$Q$43,2)</f>
        <v>86</v>
      </c>
      <c r="F835">
        <f>IF(LEFT(A835,3)="B60",20,IF(LEFT(A835,3)="B12",30,25))+B835*0.5+INT(Summary!M848*20)</f>
        <v>137</v>
      </c>
      <c r="G835">
        <f>ROUND(IF(OR(ISERROR(FIND(Summary!$P$89,CONCATENATE(C835,D835,E835))),ISERROR(FIND(Summary!$Q$89,A835))),Summary!$R$45,IF(H835&gt;Summary!$V$3,Summary!$R$46,Summary!$R$45))*(B835+30),0)</f>
        <v>3</v>
      </c>
      <c r="H835">
        <f>IF(H834&gt;Summary!$V$4,0,H834+F834)</f>
        <v>120088</v>
      </c>
      <c r="I835" s="26">
        <f>DATE(YEAR(Summary!$V$2),MONTH(Summary!$V$2),DAY(Summary!$V$2)+INT(H835/480))</f>
        <v>43840</v>
      </c>
      <c r="J835" s="27">
        <f t="shared" si="13"/>
        <v>0.39444444444444443</v>
      </c>
    </row>
    <row r="836" spans="1:10">
      <c r="A836" t="str">
        <f>VLOOKUP(Summary!M835,Summary!$P$13:$Q$24,2)</f>
        <v>B600-lime</v>
      </c>
      <c r="B836">
        <f>ROUND(NORMINV(Summary!M837,VLOOKUP(A836,Summary!$Q$13:$S$24,3,FALSE),VLOOKUP(A836,Summary!$Q$13:$S$24,3,FALSE)/6),-1)</f>
        <v>350</v>
      </c>
      <c r="C836" t="str">
        <f>IF(AND(H836=0,C835=Summary!$P$2),Summary!$Q$2,IF(AND(H836=0,C835=Summary!$Q$2),Summary!$R$2,C835))</f>
        <v>Reed</v>
      </c>
      <c r="D836" t="str">
        <f>IF(C836=Summary!$P$26,VLOOKUP(Summary!M843,Summary!$Q$26:$R$27,2),IF('Run Data'!C836=Summary!$P$28,VLOOKUP(Summary!M843,Summary!$Q$28:$R$29,2),VLOOKUP(Summary!M843,Summary!$Q$30:$R$32,2)))</f>
        <v>Sprig 2</v>
      </c>
      <c r="E836" t="str">
        <f>VLOOKUP(Summary!M846,Summary!$P$42:$Q$43,2)</f>
        <v>86</v>
      </c>
      <c r="F836">
        <f>IF(LEFT(A836,3)="B60",20,IF(LEFT(A836,3)="B12",30,25))+B836*0.5+INT(Summary!M849*20)</f>
        <v>210</v>
      </c>
      <c r="G836">
        <f>ROUND(IF(OR(ISERROR(FIND(Summary!$P$89,CONCATENATE(C836,D836,E836))),ISERROR(FIND(Summary!$Q$89,A836))),Summary!$R$45,IF(H836&gt;Summary!$V$3,Summary!$R$46,Summary!$R$45))*(B836+30),0)</f>
        <v>4</v>
      </c>
      <c r="H836">
        <f>IF(H835&gt;Summary!$V$4,0,H835+F835)</f>
        <v>120225</v>
      </c>
      <c r="I836" s="26">
        <f>DATE(YEAR(Summary!$V$2),MONTH(Summary!$V$2),DAY(Summary!$V$2)+INT(H836/480))</f>
        <v>43840</v>
      </c>
      <c r="J836" s="27">
        <f t="shared" si="13"/>
        <v>0.48958333333333331</v>
      </c>
    </row>
    <row r="837" spans="1:10">
      <c r="A837" t="str">
        <f>VLOOKUP(Summary!M836,Summary!$P$13:$Q$24,2)</f>
        <v>B600-sky</v>
      </c>
      <c r="B837">
        <f>ROUND(NORMINV(Summary!M838,VLOOKUP(A837,Summary!$Q$13:$S$24,3,FALSE),VLOOKUP(A837,Summary!$Q$13:$S$24,3,FALSE)/6),-1)</f>
        <v>490</v>
      </c>
      <c r="C837" t="str">
        <f>IF(AND(H837=0,C836=Summary!$P$2),Summary!$Q$2,IF(AND(H837=0,C836=Summary!$Q$2),Summary!$R$2,C836))</f>
        <v>Reed</v>
      </c>
      <c r="D837" t="str">
        <f>IF(C837=Summary!$P$26,VLOOKUP(Summary!M844,Summary!$Q$26:$R$27,2),IF('Run Data'!C837=Summary!$P$28,VLOOKUP(Summary!M844,Summary!$Q$28:$R$29,2),VLOOKUP(Summary!M844,Summary!$Q$30:$R$32,2)))</f>
        <v>Sprig 2</v>
      </c>
      <c r="E837" t="str">
        <f>VLOOKUP(Summary!M847,Summary!$P$42:$Q$43,2)</f>
        <v>86</v>
      </c>
      <c r="F837">
        <f>IF(LEFT(A837,3)="B60",20,IF(LEFT(A837,3)="B12",30,25))+B837*0.5+INT(Summary!M850*20)</f>
        <v>280</v>
      </c>
      <c r="G837">
        <f>ROUND(IF(OR(ISERROR(FIND(Summary!$P$89,CONCATENATE(C837,D837,E837))),ISERROR(FIND(Summary!$Q$89,A837))),Summary!$R$45,IF(H837&gt;Summary!$V$3,Summary!$R$46,Summary!$R$45))*(B837+30),0)</f>
        <v>5</v>
      </c>
      <c r="H837">
        <f>IF(H836&gt;Summary!$V$4,0,H836+F836)</f>
        <v>120435</v>
      </c>
      <c r="I837" s="26">
        <f>DATE(YEAR(Summary!$V$2),MONTH(Summary!$V$2),DAY(Summary!$V$2)+INT(H837/480))</f>
        <v>43840</v>
      </c>
      <c r="J837" s="27">
        <f t="shared" si="13"/>
        <v>0.63541666666666663</v>
      </c>
    </row>
    <row r="838" spans="1:10">
      <c r="A838" t="str">
        <f>VLOOKUP(Summary!M837,Summary!$P$13:$Q$24,2)</f>
        <v>B1700-sky</v>
      </c>
      <c r="B838">
        <f>ROUND(NORMINV(Summary!M839,VLOOKUP(A838,Summary!$Q$13:$S$24,3,FALSE),VLOOKUP(A838,Summary!$Q$13:$S$24,3,FALSE)/6),-1)</f>
        <v>460</v>
      </c>
      <c r="C838" t="str">
        <f>IF(AND(H838=0,C837=Summary!$P$2),Summary!$Q$2,IF(AND(H838=0,C837=Summary!$Q$2),Summary!$R$2,C837))</f>
        <v>Reed</v>
      </c>
      <c r="D838" t="str">
        <f>IF(C838=Summary!$P$26,VLOOKUP(Summary!M845,Summary!$Q$26:$R$27,2),IF('Run Data'!C838=Summary!$P$28,VLOOKUP(Summary!M845,Summary!$Q$28:$R$29,2),VLOOKUP(Summary!M845,Summary!$Q$30:$R$32,2)))</f>
        <v>Sprig 2</v>
      </c>
      <c r="E838" t="str">
        <f>VLOOKUP(Summary!M848,Summary!$P$42:$Q$43,2)</f>
        <v>86</v>
      </c>
      <c r="F838">
        <f>IF(LEFT(A838,3)="B60",20,IF(LEFT(A838,3)="B12",30,25))+B838*0.5+INT(Summary!M851*20)</f>
        <v>263</v>
      </c>
      <c r="G838">
        <f>ROUND(IF(OR(ISERROR(FIND(Summary!$P$89,CONCATENATE(C838,D838,E838))),ISERROR(FIND(Summary!$Q$89,A838))),Summary!$R$45,IF(H838&gt;Summary!$V$3,Summary!$R$46,Summary!$R$45))*(B838+30),0)</f>
        <v>59</v>
      </c>
      <c r="H838">
        <f>IF(H837&gt;Summary!$V$4,0,H837+F837)</f>
        <v>120715</v>
      </c>
      <c r="I838" s="26">
        <f>DATE(YEAR(Summary!$V$2),MONTH(Summary!$V$2),DAY(Summary!$V$2)+INT(H838/480))</f>
        <v>43841</v>
      </c>
      <c r="J838" s="27">
        <f t="shared" si="13"/>
        <v>0.49652777777777773</v>
      </c>
    </row>
    <row r="839" spans="1:10">
      <c r="A839" t="str">
        <f>VLOOKUP(Summary!M838,Summary!$P$13:$Q$24,2)</f>
        <v>B1200-sky</v>
      </c>
      <c r="B839">
        <f>ROUND(NORMINV(Summary!M840,VLOOKUP(A839,Summary!$Q$13:$S$24,3,FALSE),VLOOKUP(A839,Summary!$Q$13:$S$24,3,FALSE)/6),-1)</f>
        <v>1320</v>
      </c>
      <c r="C839" t="str">
        <f>IF(AND(H839=0,C838=Summary!$P$2),Summary!$Q$2,IF(AND(H839=0,C838=Summary!$Q$2),Summary!$R$2,C838))</f>
        <v>Reed</v>
      </c>
      <c r="D839" t="str">
        <f>IF(C839=Summary!$P$26,VLOOKUP(Summary!M846,Summary!$Q$26:$R$27,2),IF('Run Data'!C839=Summary!$P$28,VLOOKUP(Summary!M846,Summary!$Q$28:$R$29,2),VLOOKUP(Summary!M846,Summary!$Q$30:$R$32,2)))</f>
        <v>Sprig 2</v>
      </c>
      <c r="E839" t="str">
        <f>VLOOKUP(Summary!M849,Summary!$P$42:$Q$43,2)</f>
        <v>86</v>
      </c>
      <c r="F839">
        <f>IF(LEFT(A839,3)="B60",20,IF(LEFT(A839,3)="B12",30,25))+B839*0.5+INT(Summary!M852*20)</f>
        <v>692</v>
      </c>
      <c r="G839">
        <f>ROUND(IF(OR(ISERROR(FIND(Summary!$P$89,CONCATENATE(C839,D839,E839))),ISERROR(FIND(Summary!$Q$89,A839))),Summary!$R$45,IF(H839&gt;Summary!$V$3,Summary!$R$46,Summary!$R$45))*(B839+30),0)</f>
        <v>14</v>
      </c>
      <c r="H839">
        <f>IF(H838&gt;Summary!$V$4,0,H838+F838)</f>
        <v>120978</v>
      </c>
      <c r="I839" s="26">
        <f>DATE(YEAR(Summary!$V$2),MONTH(Summary!$V$2),DAY(Summary!$V$2)+INT(H839/480))</f>
        <v>43842</v>
      </c>
      <c r="J839" s="27">
        <f t="shared" si="13"/>
        <v>0.34583333333333338</v>
      </c>
    </row>
    <row r="840" spans="1:10">
      <c r="A840" t="str">
        <f>VLOOKUP(Summary!M839,Summary!$P$13:$Q$24,2)</f>
        <v>B600-lime</v>
      </c>
      <c r="B840">
        <f>ROUND(NORMINV(Summary!M841,VLOOKUP(A840,Summary!$Q$13:$S$24,3,FALSE),VLOOKUP(A840,Summary!$Q$13:$S$24,3,FALSE)/6),-1)</f>
        <v>310</v>
      </c>
      <c r="C840" t="str">
        <f>IF(AND(H840=0,C839=Summary!$P$2),Summary!$Q$2,IF(AND(H840=0,C839=Summary!$Q$2),Summary!$R$2,C839))</f>
        <v>Reed</v>
      </c>
      <c r="D840" t="str">
        <f>IF(C840=Summary!$P$26,VLOOKUP(Summary!M847,Summary!$Q$26:$R$27,2),IF('Run Data'!C840=Summary!$P$28,VLOOKUP(Summary!M847,Summary!$Q$28:$R$29,2),VLOOKUP(Summary!M847,Summary!$Q$30:$R$32,2)))</f>
        <v>Sprig 2</v>
      </c>
      <c r="E840" t="str">
        <f>VLOOKUP(Summary!M850,Summary!$P$42:$Q$43,2)</f>
        <v>86</v>
      </c>
      <c r="F840">
        <f>IF(LEFT(A840,3)="B60",20,IF(LEFT(A840,3)="B12",30,25))+B840*0.5+INT(Summary!M853*20)</f>
        <v>187</v>
      </c>
      <c r="G840">
        <f>ROUND(IF(OR(ISERROR(FIND(Summary!$P$89,CONCATENATE(C840,D840,E840))),ISERROR(FIND(Summary!$Q$89,A840))),Summary!$R$45,IF(H840&gt;Summary!$V$3,Summary!$R$46,Summary!$R$45))*(B840+30),0)</f>
        <v>3</v>
      </c>
      <c r="H840">
        <f>IF(H839&gt;Summary!$V$4,0,H839+F839)</f>
        <v>121670</v>
      </c>
      <c r="I840" s="26">
        <f>DATE(YEAR(Summary!$V$2),MONTH(Summary!$V$2),DAY(Summary!$V$2)+INT(H840/480))</f>
        <v>43843</v>
      </c>
      <c r="J840" s="27">
        <f t="shared" si="13"/>
        <v>0.49305555555555558</v>
      </c>
    </row>
    <row r="841" spans="1:10">
      <c r="A841" t="str">
        <f>VLOOKUP(Summary!M840,Summary!$P$13:$Q$24,2)</f>
        <v>B1700-plum</v>
      </c>
      <c r="B841">
        <f>ROUND(NORMINV(Summary!M842,VLOOKUP(A841,Summary!$Q$13:$S$24,3,FALSE),VLOOKUP(A841,Summary!$Q$13:$S$24,3,FALSE)/6),-1)</f>
        <v>330</v>
      </c>
      <c r="C841" t="str">
        <f>IF(AND(H841=0,C840=Summary!$P$2),Summary!$Q$2,IF(AND(H841=0,C840=Summary!$Q$2),Summary!$R$2,C840))</f>
        <v>Reed</v>
      </c>
      <c r="D841" t="str">
        <f>IF(C841=Summary!$P$26,VLOOKUP(Summary!M848,Summary!$Q$26:$R$27,2),IF('Run Data'!C841=Summary!$P$28,VLOOKUP(Summary!M848,Summary!$Q$28:$R$29,2),VLOOKUP(Summary!M848,Summary!$Q$30:$R$32,2)))</f>
        <v>Sprig 2</v>
      </c>
      <c r="E841" t="str">
        <f>VLOOKUP(Summary!M851,Summary!$P$42:$Q$43,2)</f>
        <v>86</v>
      </c>
      <c r="F841">
        <f>IF(LEFT(A841,3)="B60",20,IF(LEFT(A841,3)="B12",30,25))+B841*0.5+INT(Summary!M854*20)</f>
        <v>207</v>
      </c>
      <c r="G841">
        <f>ROUND(IF(OR(ISERROR(FIND(Summary!$P$89,CONCATENATE(C841,D841,E841))),ISERROR(FIND(Summary!$Q$89,A841))),Summary!$R$45,IF(H841&gt;Summary!$V$3,Summary!$R$46,Summary!$R$45))*(B841+30),0)</f>
        <v>43</v>
      </c>
      <c r="H841">
        <f>IF(H840&gt;Summary!$V$4,0,H840+F840)</f>
        <v>121857</v>
      </c>
      <c r="I841" s="26">
        <f>DATE(YEAR(Summary!$V$2),MONTH(Summary!$V$2),DAY(Summary!$V$2)+INT(H841/480))</f>
        <v>43843</v>
      </c>
      <c r="J841" s="27">
        <f t="shared" si="13"/>
        <v>0.62291666666666667</v>
      </c>
    </row>
    <row r="842" spans="1:10">
      <c r="A842" t="str">
        <f>VLOOKUP(Summary!M841,Summary!$P$13:$Q$24,2)</f>
        <v>B1200-lime</v>
      </c>
      <c r="B842">
        <f>ROUND(NORMINV(Summary!M843,VLOOKUP(A842,Summary!$Q$13:$S$24,3,FALSE),VLOOKUP(A842,Summary!$Q$13:$S$24,3,FALSE)/6),-1)</f>
        <v>900</v>
      </c>
      <c r="C842" t="str">
        <f>IF(AND(H842=0,C841=Summary!$P$2),Summary!$Q$2,IF(AND(H842=0,C841=Summary!$Q$2),Summary!$R$2,C841))</f>
        <v>Reed</v>
      </c>
      <c r="D842" t="str">
        <f>IF(C842=Summary!$P$26,VLOOKUP(Summary!M849,Summary!$Q$26:$R$27,2),IF('Run Data'!C842=Summary!$P$28,VLOOKUP(Summary!M849,Summary!$Q$28:$R$29,2),VLOOKUP(Summary!M849,Summary!$Q$30:$R$32,2)))</f>
        <v>Sprig 2</v>
      </c>
      <c r="E842" t="str">
        <f>VLOOKUP(Summary!M852,Summary!$P$42:$Q$43,2)</f>
        <v>86</v>
      </c>
      <c r="F842">
        <f>IF(LEFT(A842,3)="B60",20,IF(LEFT(A842,3)="B12",30,25))+B842*0.5+INT(Summary!M855*20)</f>
        <v>488</v>
      </c>
      <c r="G842">
        <f>ROUND(IF(OR(ISERROR(FIND(Summary!$P$89,CONCATENATE(C842,D842,E842))),ISERROR(FIND(Summary!$Q$89,A842))),Summary!$R$45,IF(H842&gt;Summary!$V$3,Summary!$R$46,Summary!$R$45))*(B842+30),0)</f>
        <v>9</v>
      </c>
      <c r="H842">
        <f>IF(H841&gt;Summary!$V$4,0,H841+F841)</f>
        <v>122064</v>
      </c>
      <c r="I842" s="26">
        <f>DATE(YEAR(Summary!$V$2),MONTH(Summary!$V$2),DAY(Summary!$V$2)+INT(H842/480))</f>
        <v>43844</v>
      </c>
      <c r="J842" s="27">
        <f t="shared" si="13"/>
        <v>0.43333333333333335</v>
      </c>
    </row>
    <row r="843" spans="1:10">
      <c r="A843" t="str">
        <f>VLOOKUP(Summary!M842,Summary!$P$13:$Q$24,2)</f>
        <v>B1700-plum</v>
      </c>
      <c r="B843">
        <f>ROUND(NORMINV(Summary!M844,VLOOKUP(A843,Summary!$Q$13:$S$24,3,FALSE),VLOOKUP(A843,Summary!$Q$13:$S$24,3,FALSE)/6),-1)</f>
        <v>290</v>
      </c>
      <c r="C843" t="str">
        <f>IF(AND(H843=0,C842=Summary!$P$2),Summary!$Q$2,IF(AND(H843=0,C842=Summary!$Q$2),Summary!$R$2,C842))</f>
        <v>Reed</v>
      </c>
      <c r="D843" t="str">
        <f>IF(C843=Summary!$P$26,VLOOKUP(Summary!M850,Summary!$Q$26:$R$27,2),IF('Run Data'!C843=Summary!$P$28,VLOOKUP(Summary!M850,Summary!$Q$28:$R$29,2),VLOOKUP(Summary!M850,Summary!$Q$30:$R$32,2)))</f>
        <v>Sprig 2</v>
      </c>
      <c r="E843" t="str">
        <f>VLOOKUP(Summary!M853,Summary!$P$42:$Q$43,2)</f>
        <v>86</v>
      </c>
      <c r="F843">
        <f>IF(LEFT(A843,3)="B60",20,IF(LEFT(A843,3)="B12",30,25))+B843*0.5+INT(Summary!M856*20)</f>
        <v>188</v>
      </c>
      <c r="G843">
        <f>ROUND(IF(OR(ISERROR(FIND(Summary!$P$89,CONCATENATE(C843,D843,E843))),ISERROR(FIND(Summary!$Q$89,A843))),Summary!$R$45,IF(H843&gt;Summary!$V$3,Summary!$R$46,Summary!$R$45))*(B843+30),0)</f>
        <v>38</v>
      </c>
      <c r="H843">
        <f>IF(H842&gt;Summary!$V$4,0,H842+F842)</f>
        <v>122552</v>
      </c>
      <c r="I843" s="26">
        <f>DATE(YEAR(Summary!$V$2),MONTH(Summary!$V$2),DAY(Summary!$V$2)+INT(H843/480))</f>
        <v>43845</v>
      </c>
      <c r="J843" s="27">
        <f t="shared" si="13"/>
        <v>0.43888888888888888</v>
      </c>
    </row>
    <row r="844" spans="1:10">
      <c r="A844" t="str">
        <f>VLOOKUP(Summary!M843,Summary!$P$13:$Q$24,2)</f>
        <v>B1700-sky</v>
      </c>
      <c r="B844">
        <f>ROUND(NORMINV(Summary!M845,VLOOKUP(A844,Summary!$Q$13:$S$24,3,FALSE),VLOOKUP(A844,Summary!$Q$13:$S$24,3,FALSE)/6),-1)</f>
        <v>590</v>
      </c>
      <c r="C844" t="str">
        <f>IF(AND(H844=0,C843=Summary!$P$2),Summary!$Q$2,IF(AND(H844=0,C843=Summary!$Q$2),Summary!$R$2,C843))</f>
        <v>Reed</v>
      </c>
      <c r="D844" t="str">
        <f>IF(C844=Summary!$P$26,VLOOKUP(Summary!M851,Summary!$Q$26:$R$27,2),IF('Run Data'!C844=Summary!$P$28,VLOOKUP(Summary!M851,Summary!$Q$28:$R$29,2),VLOOKUP(Summary!M851,Summary!$Q$30:$R$32,2)))</f>
        <v>Sprig 2</v>
      </c>
      <c r="E844" t="str">
        <f>VLOOKUP(Summary!M854,Summary!$P$42:$Q$43,2)</f>
        <v>87b</v>
      </c>
      <c r="F844">
        <f>IF(LEFT(A844,3)="B60",20,IF(LEFT(A844,3)="B12",30,25))+B844*0.5+INT(Summary!M857*20)</f>
        <v>334</v>
      </c>
      <c r="G844">
        <f>ROUND(IF(OR(ISERROR(FIND(Summary!$P$89,CONCATENATE(C844,D844,E844))),ISERROR(FIND(Summary!$Q$89,A844))),Summary!$R$45,IF(H844&gt;Summary!$V$3,Summary!$R$46,Summary!$R$45))*(B844+30),0)</f>
        <v>6</v>
      </c>
      <c r="H844">
        <f>IF(H843&gt;Summary!$V$4,0,H843+F843)</f>
        <v>122740</v>
      </c>
      <c r="I844" s="26">
        <f>DATE(YEAR(Summary!$V$2),MONTH(Summary!$V$2),DAY(Summary!$V$2)+INT(H844/480))</f>
        <v>43845</v>
      </c>
      <c r="J844" s="27">
        <f t="shared" si="13"/>
        <v>0.56944444444444442</v>
      </c>
    </row>
    <row r="845" spans="1:10">
      <c r="A845" t="str">
        <f>VLOOKUP(Summary!M844,Summary!$P$13:$Q$24,2)</f>
        <v>B1200-sky</v>
      </c>
      <c r="B845">
        <f>ROUND(NORMINV(Summary!M846,VLOOKUP(A845,Summary!$Q$13:$S$24,3,FALSE),VLOOKUP(A845,Summary!$Q$13:$S$24,3,FALSE)/6),-1)</f>
        <v>1090</v>
      </c>
      <c r="C845" t="str">
        <f>IF(AND(H845=0,C844=Summary!$P$2),Summary!$Q$2,IF(AND(H845=0,C844=Summary!$Q$2),Summary!$R$2,C844))</f>
        <v>Reed</v>
      </c>
      <c r="D845" t="str">
        <f>IF(C845=Summary!$P$26,VLOOKUP(Summary!M852,Summary!$Q$26:$R$27,2),IF('Run Data'!C845=Summary!$P$28,VLOOKUP(Summary!M852,Summary!$Q$28:$R$29,2),VLOOKUP(Summary!M852,Summary!$Q$30:$R$32,2)))</f>
        <v>Sprig 2</v>
      </c>
      <c r="E845" t="str">
        <f>VLOOKUP(Summary!M855,Summary!$P$42:$Q$43,2)</f>
        <v>86</v>
      </c>
      <c r="F845">
        <f>IF(LEFT(A845,3)="B60",20,IF(LEFT(A845,3)="B12",30,25))+B845*0.5+INT(Summary!M858*20)</f>
        <v>591</v>
      </c>
      <c r="G845">
        <f>ROUND(IF(OR(ISERROR(FIND(Summary!$P$89,CONCATENATE(C845,D845,E845))),ISERROR(FIND(Summary!$Q$89,A845))),Summary!$R$45,IF(H845&gt;Summary!$V$3,Summary!$R$46,Summary!$R$45))*(B845+30),0)</f>
        <v>11</v>
      </c>
      <c r="H845">
        <f>IF(H844&gt;Summary!$V$4,0,H844+F844)</f>
        <v>123074</v>
      </c>
      <c r="I845" s="26">
        <f>DATE(YEAR(Summary!$V$2),MONTH(Summary!$V$2),DAY(Summary!$V$2)+INT(H845/480))</f>
        <v>43846</v>
      </c>
      <c r="J845" s="27">
        <f t="shared" si="13"/>
        <v>0.4680555555555555</v>
      </c>
    </row>
    <row r="846" spans="1:10">
      <c r="A846" t="str">
        <f>VLOOKUP(Summary!M845,Summary!$P$13:$Q$24,2)</f>
        <v>B1200-lime</v>
      </c>
      <c r="B846">
        <f>ROUND(NORMINV(Summary!M847,VLOOKUP(A846,Summary!$Q$13:$S$24,3,FALSE),VLOOKUP(A846,Summary!$Q$13:$S$24,3,FALSE)/6),-1)</f>
        <v>780</v>
      </c>
      <c r="C846" t="str">
        <f>IF(AND(H846=0,C845=Summary!$P$2),Summary!$Q$2,IF(AND(H846=0,C845=Summary!$Q$2),Summary!$R$2,C845))</f>
        <v>Reed</v>
      </c>
      <c r="D846" t="str">
        <f>IF(C846=Summary!$P$26,VLOOKUP(Summary!M853,Summary!$Q$26:$R$27,2),IF('Run Data'!C846=Summary!$P$28,VLOOKUP(Summary!M853,Summary!$Q$28:$R$29,2),VLOOKUP(Summary!M853,Summary!$Q$30:$R$32,2)))</f>
        <v>Sprig 2</v>
      </c>
      <c r="E846" t="str">
        <f>VLOOKUP(Summary!M856,Summary!$P$42:$Q$43,2)</f>
        <v>87b</v>
      </c>
      <c r="F846">
        <f>IF(LEFT(A846,3)="B60",20,IF(LEFT(A846,3)="B12",30,25))+B846*0.5+INT(Summary!M859*20)</f>
        <v>425</v>
      </c>
      <c r="G846">
        <f>ROUND(IF(OR(ISERROR(FIND(Summary!$P$89,CONCATENATE(C846,D846,E846))),ISERROR(FIND(Summary!$Q$89,A846))),Summary!$R$45,IF(H846&gt;Summary!$V$3,Summary!$R$46,Summary!$R$45))*(B846+30),0)</f>
        <v>8</v>
      </c>
      <c r="H846">
        <f>IF(H845&gt;Summary!$V$4,0,H845+F845)</f>
        <v>123665</v>
      </c>
      <c r="I846" s="26">
        <f>DATE(YEAR(Summary!$V$2),MONTH(Summary!$V$2),DAY(Summary!$V$2)+INT(H846/480))</f>
        <v>43847</v>
      </c>
      <c r="J846" s="27">
        <f t="shared" si="13"/>
        <v>0.54513888888888895</v>
      </c>
    </row>
    <row r="847" spans="1:10">
      <c r="A847" t="str">
        <f>VLOOKUP(Summary!M846,Summary!$P$13:$Q$24,2)</f>
        <v>B1200-plum</v>
      </c>
      <c r="B847">
        <f>ROUND(NORMINV(Summary!M848,VLOOKUP(A847,Summary!$Q$13:$S$24,3,FALSE),VLOOKUP(A847,Summary!$Q$13:$S$24,3,FALSE)/6),-1)</f>
        <v>430</v>
      </c>
      <c r="C847" t="str">
        <f>IF(AND(H847=0,C846=Summary!$P$2),Summary!$Q$2,IF(AND(H847=0,C846=Summary!$Q$2),Summary!$R$2,C846))</f>
        <v>Reed</v>
      </c>
      <c r="D847" t="str">
        <f>IF(C847=Summary!$P$26,VLOOKUP(Summary!M854,Summary!$Q$26:$R$27,2),IF('Run Data'!C847=Summary!$P$28,VLOOKUP(Summary!M854,Summary!$Q$28:$R$29,2),VLOOKUP(Summary!M854,Summary!$Q$30:$R$32,2)))</f>
        <v>Sprig 4</v>
      </c>
      <c r="E847" t="str">
        <f>VLOOKUP(Summary!M857,Summary!$P$42:$Q$43,2)</f>
        <v>86</v>
      </c>
      <c r="F847">
        <f>IF(LEFT(A847,3)="B60",20,IF(LEFT(A847,3)="B12",30,25))+B847*0.5+INT(Summary!M860*20)</f>
        <v>250</v>
      </c>
      <c r="G847">
        <f>ROUND(IF(OR(ISERROR(FIND(Summary!$P$89,CONCATENATE(C847,D847,E847))),ISERROR(FIND(Summary!$Q$89,A847))),Summary!$R$45,IF(H847&gt;Summary!$V$3,Summary!$R$46,Summary!$R$45))*(B847+30),0)</f>
        <v>5</v>
      </c>
      <c r="H847">
        <f>IF(H846&gt;Summary!$V$4,0,H846+F846)</f>
        <v>124090</v>
      </c>
      <c r="I847" s="26">
        <f>DATE(YEAR(Summary!$V$2),MONTH(Summary!$V$2),DAY(Summary!$V$2)+INT(H847/480))</f>
        <v>43848</v>
      </c>
      <c r="J847" s="27">
        <f t="shared" si="13"/>
        <v>0.50694444444444442</v>
      </c>
    </row>
    <row r="848" spans="1:10">
      <c r="A848" t="str">
        <f>VLOOKUP(Summary!M847,Summary!$P$13:$Q$24,2)</f>
        <v>B1200-fire</v>
      </c>
      <c r="B848">
        <f>ROUND(NORMINV(Summary!M849,VLOOKUP(A848,Summary!$Q$13:$S$24,3,FALSE),VLOOKUP(A848,Summary!$Q$13:$S$24,3,FALSE)/6),-1)</f>
        <v>1350</v>
      </c>
      <c r="C848" t="str">
        <f>IF(AND(H848=0,C847=Summary!$P$2),Summary!$Q$2,IF(AND(H848=0,C847=Summary!$Q$2),Summary!$R$2,C847))</f>
        <v>Reed</v>
      </c>
      <c r="D848" t="str">
        <f>IF(C848=Summary!$P$26,VLOOKUP(Summary!M855,Summary!$Q$26:$R$27,2),IF('Run Data'!C848=Summary!$P$28,VLOOKUP(Summary!M855,Summary!$Q$28:$R$29,2),VLOOKUP(Summary!M855,Summary!$Q$30:$R$32,2)))</f>
        <v>Sprig 2</v>
      </c>
      <c r="E848" t="str">
        <f>VLOOKUP(Summary!M858,Summary!$P$42:$Q$43,2)</f>
        <v>86</v>
      </c>
      <c r="F848">
        <f>IF(LEFT(A848,3)="B60",20,IF(LEFT(A848,3)="B12",30,25))+B848*0.5+INT(Summary!M861*20)</f>
        <v>707</v>
      </c>
      <c r="G848">
        <f>ROUND(IF(OR(ISERROR(FIND(Summary!$P$89,CONCATENATE(C848,D848,E848))),ISERROR(FIND(Summary!$Q$89,A848))),Summary!$R$45,IF(H848&gt;Summary!$V$3,Summary!$R$46,Summary!$R$45))*(B848+30),0)</f>
        <v>14</v>
      </c>
      <c r="H848">
        <f>IF(H847&gt;Summary!$V$4,0,H847+F847)</f>
        <v>124340</v>
      </c>
      <c r="I848" s="26">
        <f>DATE(YEAR(Summary!$V$2),MONTH(Summary!$V$2),DAY(Summary!$V$2)+INT(H848/480))</f>
        <v>43849</v>
      </c>
      <c r="J848" s="27">
        <f t="shared" si="13"/>
        <v>0.34722222222222227</v>
      </c>
    </row>
    <row r="849" spans="1:10">
      <c r="A849" t="str">
        <f>VLOOKUP(Summary!M848,Summary!$P$13:$Q$24,2)</f>
        <v>B1200-sky</v>
      </c>
      <c r="B849">
        <f>ROUND(NORMINV(Summary!M850,VLOOKUP(A849,Summary!$Q$13:$S$24,3,FALSE),VLOOKUP(A849,Summary!$Q$13:$S$24,3,FALSE)/6),-1)</f>
        <v>1340</v>
      </c>
      <c r="C849" t="str">
        <f>IF(AND(H849=0,C848=Summary!$P$2),Summary!$Q$2,IF(AND(H849=0,C848=Summary!$Q$2),Summary!$R$2,C848))</f>
        <v>Reed</v>
      </c>
      <c r="D849" t="str">
        <f>IF(C849=Summary!$P$26,VLOOKUP(Summary!M856,Summary!$Q$26:$R$27,2),IF('Run Data'!C849=Summary!$P$28,VLOOKUP(Summary!M856,Summary!$Q$28:$R$29,2),VLOOKUP(Summary!M856,Summary!$Q$30:$R$32,2)))</f>
        <v>Sprig 4</v>
      </c>
      <c r="E849" t="str">
        <f>VLOOKUP(Summary!M859,Summary!$P$42:$Q$43,2)</f>
        <v>86</v>
      </c>
      <c r="F849">
        <f>IF(LEFT(A849,3)="B60",20,IF(LEFT(A849,3)="B12",30,25))+B849*0.5+INT(Summary!M862*20)</f>
        <v>714</v>
      </c>
      <c r="G849">
        <f>ROUND(IF(OR(ISERROR(FIND(Summary!$P$89,CONCATENATE(C849,D849,E849))),ISERROR(FIND(Summary!$Q$89,A849))),Summary!$R$45,IF(H849&gt;Summary!$V$3,Summary!$R$46,Summary!$R$45))*(B849+30),0)</f>
        <v>14</v>
      </c>
      <c r="H849">
        <f>IF(H848&gt;Summary!$V$4,0,H848+F848)</f>
        <v>125047</v>
      </c>
      <c r="I849" s="26">
        <f>DATE(YEAR(Summary!$V$2),MONTH(Summary!$V$2),DAY(Summary!$V$2)+INT(H849/480))</f>
        <v>43850</v>
      </c>
      <c r="J849" s="27">
        <f t="shared" ref="J849:J912" si="14">TIME(INT(MOD(H849,480)/60)+8,MOD(MOD(H849,480),60),0)</f>
        <v>0.50486111111111109</v>
      </c>
    </row>
    <row r="850" spans="1:10">
      <c r="A850" t="str">
        <f>VLOOKUP(Summary!M849,Summary!$P$13:$Q$24,2)</f>
        <v>B1700-plum</v>
      </c>
      <c r="B850">
        <f>ROUND(NORMINV(Summary!M851,VLOOKUP(A850,Summary!$Q$13:$S$24,3,FALSE),VLOOKUP(A850,Summary!$Q$13:$S$24,3,FALSE)/6),-1)</f>
        <v>290</v>
      </c>
      <c r="C850" t="str">
        <f>IF(AND(H850=0,C849=Summary!$P$2),Summary!$Q$2,IF(AND(H850=0,C849=Summary!$Q$2),Summary!$R$2,C849))</f>
        <v>Reed</v>
      </c>
      <c r="D850" t="str">
        <f>IF(C850=Summary!$P$26,VLOOKUP(Summary!M857,Summary!$Q$26:$R$27,2),IF('Run Data'!C850=Summary!$P$28,VLOOKUP(Summary!M857,Summary!$Q$28:$R$29,2),VLOOKUP(Summary!M857,Summary!$Q$30:$R$32,2)))</f>
        <v>Sprig 2</v>
      </c>
      <c r="E850" t="str">
        <f>VLOOKUP(Summary!M860,Summary!$P$42:$Q$43,2)</f>
        <v>86</v>
      </c>
      <c r="F850">
        <f>IF(LEFT(A850,3)="B60",20,IF(LEFT(A850,3)="B12",30,25))+B850*0.5+INT(Summary!M863*20)</f>
        <v>182</v>
      </c>
      <c r="G850">
        <f>ROUND(IF(OR(ISERROR(FIND(Summary!$P$89,CONCATENATE(C850,D850,E850))),ISERROR(FIND(Summary!$Q$89,A850))),Summary!$R$45,IF(H850&gt;Summary!$V$3,Summary!$R$46,Summary!$R$45))*(B850+30),0)</f>
        <v>38</v>
      </c>
      <c r="H850">
        <f>IF(H849&gt;Summary!$V$4,0,H849+F849)</f>
        <v>125761</v>
      </c>
      <c r="I850" s="26">
        <f>DATE(YEAR(Summary!$V$2),MONTH(Summary!$V$2),DAY(Summary!$V$2)+INT(H850/480))</f>
        <v>43852</v>
      </c>
      <c r="J850" s="27">
        <f t="shared" si="14"/>
        <v>0.33402777777777781</v>
      </c>
    </row>
    <row r="851" spans="1:10">
      <c r="A851" t="str">
        <f>VLOOKUP(Summary!M850,Summary!$P$13:$Q$24,2)</f>
        <v>B1700-plum</v>
      </c>
      <c r="B851">
        <f>ROUND(NORMINV(Summary!M852,VLOOKUP(A851,Summary!$Q$13:$S$24,3,FALSE),VLOOKUP(A851,Summary!$Q$13:$S$24,3,FALSE)/6),-1)</f>
        <v>250</v>
      </c>
      <c r="C851" t="str">
        <f>IF(AND(H851=0,C850=Summary!$P$2),Summary!$Q$2,IF(AND(H851=0,C850=Summary!$Q$2),Summary!$R$2,C850))</f>
        <v>Reed</v>
      </c>
      <c r="D851" t="str">
        <f>IF(C851=Summary!$P$26,VLOOKUP(Summary!M858,Summary!$Q$26:$R$27,2),IF('Run Data'!C851=Summary!$P$28,VLOOKUP(Summary!M858,Summary!$Q$28:$R$29,2),VLOOKUP(Summary!M858,Summary!$Q$30:$R$32,2)))</f>
        <v>Sprig 4</v>
      </c>
      <c r="E851" t="str">
        <f>VLOOKUP(Summary!M861,Summary!$P$42:$Q$43,2)</f>
        <v>86</v>
      </c>
      <c r="F851">
        <f>IF(LEFT(A851,3)="B60",20,IF(LEFT(A851,3)="B12",30,25))+B851*0.5+INT(Summary!M864*20)</f>
        <v>162</v>
      </c>
      <c r="G851">
        <f>ROUND(IF(OR(ISERROR(FIND(Summary!$P$89,CONCATENATE(C851,D851,E851))),ISERROR(FIND(Summary!$Q$89,A851))),Summary!$R$45,IF(H851&gt;Summary!$V$3,Summary!$R$46,Summary!$R$45))*(B851+30),0)</f>
        <v>34</v>
      </c>
      <c r="H851">
        <f>IF(H850&gt;Summary!$V$4,0,H850+F850)</f>
        <v>125943</v>
      </c>
      <c r="I851" s="26">
        <f>DATE(YEAR(Summary!$V$2),MONTH(Summary!$V$2),DAY(Summary!$V$2)+INT(H851/480))</f>
        <v>43852</v>
      </c>
      <c r="J851" s="27">
        <f t="shared" si="14"/>
        <v>0.4604166666666667</v>
      </c>
    </row>
    <row r="852" spans="1:10">
      <c r="A852" t="str">
        <f>VLOOKUP(Summary!M851,Summary!$P$13:$Q$24,2)</f>
        <v>B1200-sky</v>
      </c>
      <c r="B852">
        <f>ROUND(NORMINV(Summary!M853,VLOOKUP(A852,Summary!$Q$13:$S$24,3,FALSE),VLOOKUP(A852,Summary!$Q$13:$S$24,3,FALSE)/6),-1)</f>
        <v>1250</v>
      </c>
      <c r="C852" t="str">
        <f>IF(AND(H852=0,C851=Summary!$P$2),Summary!$Q$2,IF(AND(H852=0,C851=Summary!$Q$2),Summary!$R$2,C851))</f>
        <v>Reed</v>
      </c>
      <c r="D852" t="str">
        <f>IF(C852=Summary!$P$26,VLOOKUP(Summary!M859,Summary!$Q$26:$R$27,2),IF('Run Data'!C852=Summary!$P$28,VLOOKUP(Summary!M859,Summary!$Q$28:$R$29,2),VLOOKUP(Summary!M859,Summary!$Q$30:$R$32,2)))</f>
        <v>Sprig 2</v>
      </c>
      <c r="E852" t="str">
        <f>VLOOKUP(Summary!M862,Summary!$P$42:$Q$43,2)</f>
        <v>86</v>
      </c>
      <c r="F852">
        <f>IF(LEFT(A852,3)="B60",20,IF(LEFT(A852,3)="B12",30,25))+B852*0.5+INT(Summary!M865*20)</f>
        <v>662</v>
      </c>
      <c r="G852">
        <f>ROUND(IF(OR(ISERROR(FIND(Summary!$P$89,CONCATENATE(C852,D852,E852))),ISERROR(FIND(Summary!$Q$89,A852))),Summary!$R$45,IF(H852&gt;Summary!$V$3,Summary!$R$46,Summary!$R$45))*(B852+30),0)</f>
        <v>13</v>
      </c>
      <c r="H852">
        <f>IF(H851&gt;Summary!$V$4,0,H851+F851)</f>
        <v>126105</v>
      </c>
      <c r="I852" s="26">
        <f>DATE(YEAR(Summary!$V$2),MONTH(Summary!$V$2),DAY(Summary!$V$2)+INT(H852/480))</f>
        <v>43852</v>
      </c>
      <c r="J852" s="27">
        <f t="shared" si="14"/>
        <v>0.57291666666666663</v>
      </c>
    </row>
    <row r="853" spans="1:10">
      <c r="A853" t="str">
        <f>VLOOKUP(Summary!M852,Summary!$P$13:$Q$24,2)</f>
        <v>B600-fire</v>
      </c>
      <c r="B853">
        <f>ROUND(NORMINV(Summary!M854,VLOOKUP(A853,Summary!$Q$13:$S$24,3,FALSE),VLOOKUP(A853,Summary!$Q$13:$S$24,3,FALSE)/6),-1)</f>
        <v>480</v>
      </c>
      <c r="C853" t="str">
        <f>IF(AND(H853=0,C852=Summary!$P$2),Summary!$Q$2,IF(AND(H853=0,C852=Summary!$Q$2),Summary!$R$2,C852))</f>
        <v>Reed</v>
      </c>
      <c r="D853" t="str">
        <f>IF(C853=Summary!$P$26,VLOOKUP(Summary!M860,Summary!$Q$26:$R$27,2),IF('Run Data'!C853=Summary!$P$28,VLOOKUP(Summary!M860,Summary!$Q$28:$R$29,2),VLOOKUP(Summary!M860,Summary!$Q$30:$R$32,2)))</f>
        <v>Sprig 2</v>
      </c>
      <c r="E853" t="str">
        <f>VLOOKUP(Summary!M863,Summary!$P$42:$Q$43,2)</f>
        <v>86</v>
      </c>
      <c r="F853">
        <f>IF(LEFT(A853,3)="B60",20,IF(LEFT(A853,3)="B12",30,25))+B853*0.5+INT(Summary!M866*20)</f>
        <v>270</v>
      </c>
      <c r="G853">
        <f>ROUND(IF(OR(ISERROR(FIND(Summary!$P$89,CONCATENATE(C853,D853,E853))),ISERROR(FIND(Summary!$Q$89,A853))),Summary!$R$45,IF(H853&gt;Summary!$V$3,Summary!$R$46,Summary!$R$45))*(B853+30),0)</f>
        <v>5</v>
      </c>
      <c r="H853">
        <f>IF(H852&gt;Summary!$V$4,0,H852+F852)</f>
        <v>126767</v>
      </c>
      <c r="I853" s="26">
        <f>DATE(YEAR(Summary!$V$2),MONTH(Summary!$V$2),DAY(Summary!$V$2)+INT(H853/480))</f>
        <v>43854</v>
      </c>
      <c r="J853" s="27">
        <f t="shared" si="14"/>
        <v>0.3659722222222222</v>
      </c>
    </row>
    <row r="854" spans="1:10">
      <c r="A854" t="str">
        <f>VLOOKUP(Summary!M853,Summary!$P$13:$Q$24,2)</f>
        <v>B1200-lime</v>
      </c>
      <c r="B854">
        <f>ROUND(NORMINV(Summary!M855,VLOOKUP(A854,Summary!$Q$13:$S$24,3,FALSE),VLOOKUP(A854,Summary!$Q$13:$S$24,3,FALSE)/6),-1)</f>
        <v>770</v>
      </c>
      <c r="C854" t="str">
        <f>IF(AND(H854=0,C853=Summary!$P$2),Summary!$Q$2,IF(AND(H854=0,C853=Summary!$Q$2),Summary!$R$2,C853))</f>
        <v>Reed</v>
      </c>
      <c r="D854" t="str">
        <f>IF(C854=Summary!$P$26,VLOOKUP(Summary!M861,Summary!$Q$26:$R$27,2),IF('Run Data'!C854=Summary!$P$28,VLOOKUP(Summary!M861,Summary!$Q$28:$R$29,2),VLOOKUP(Summary!M861,Summary!$Q$30:$R$32,2)))</f>
        <v>Sprig 2</v>
      </c>
      <c r="E854" t="str">
        <f>VLOOKUP(Summary!M864,Summary!$P$42:$Q$43,2)</f>
        <v>86</v>
      </c>
      <c r="F854">
        <f>IF(LEFT(A854,3)="B60",20,IF(LEFT(A854,3)="B12",30,25))+B854*0.5+INT(Summary!M867*20)</f>
        <v>434</v>
      </c>
      <c r="G854">
        <f>ROUND(IF(OR(ISERROR(FIND(Summary!$P$89,CONCATENATE(C854,D854,E854))),ISERROR(FIND(Summary!$Q$89,A854))),Summary!$R$45,IF(H854&gt;Summary!$V$3,Summary!$R$46,Summary!$R$45))*(B854+30),0)</f>
        <v>8</v>
      </c>
      <c r="H854">
        <f>IF(H853&gt;Summary!$V$4,0,H853+F853)</f>
        <v>127037</v>
      </c>
      <c r="I854" s="26">
        <f>DATE(YEAR(Summary!$V$2),MONTH(Summary!$V$2),DAY(Summary!$V$2)+INT(H854/480))</f>
        <v>43854</v>
      </c>
      <c r="J854" s="27">
        <f t="shared" si="14"/>
        <v>0.55347222222222225</v>
      </c>
    </row>
    <row r="855" spans="1:10">
      <c r="A855" t="str">
        <f>VLOOKUP(Summary!M854,Summary!$P$13:$Q$24,2)</f>
        <v>B1700-fire</v>
      </c>
      <c r="B855">
        <f>ROUND(NORMINV(Summary!M856,VLOOKUP(A855,Summary!$Q$13:$S$24,3,FALSE),VLOOKUP(A855,Summary!$Q$13:$S$24,3,FALSE)/6),-1)</f>
        <v>930</v>
      </c>
      <c r="C855" t="str">
        <f>IF(AND(H855=0,C854=Summary!$P$2),Summary!$Q$2,IF(AND(H855=0,C854=Summary!$Q$2),Summary!$R$2,C854))</f>
        <v>Reed</v>
      </c>
      <c r="D855" t="str">
        <f>IF(C855=Summary!$P$26,VLOOKUP(Summary!M862,Summary!$Q$26:$R$27,2),IF('Run Data'!C855=Summary!$P$28,VLOOKUP(Summary!M862,Summary!$Q$28:$R$29,2),VLOOKUP(Summary!M862,Summary!$Q$30:$R$32,2)))</f>
        <v>Sprig 2</v>
      </c>
      <c r="E855" t="str">
        <f>VLOOKUP(Summary!M865,Summary!$P$42:$Q$43,2)</f>
        <v>86</v>
      </c>
      <c r="F855">
        <f>IF(LEFT(A855,3)="B60",20,IF(LEFT(A855,3)="B12",30,25))+B855*0.5+INT(Summary!M868*20)</f>
        <v>491</v>
      </c>
      <c r="G855">
        <f>ROUND(IF(OR(ISERROR(FIND(Summary!$P$89,CONCATENATE(C855,D855,E855))),ISERROR(FIND(Summary!$Q$89,A855))),Summary!$R$45,IF(H855&gt;Summary!$V$3,Summary!$R$46,Summary!$R$45))*(B855+30),0)</f>
        <v>115</v>
      </c>
      <c r="H855">
        <f>IF(H854&gt;Summary!$V$4,0,H854+F854)</f>
        <v>127471</v>
      </c>
      <c r="I855" s="26">
        <f>DATE(YEAR(Summary!$V$2),MONTH(Summary!$V$2),DAY(Summary!$V$2)+INT(H855/480))</f>
        <v>43855</v>
      </c>
      <c r="J855" s="27">
        <f t="shared" si="14"/>
        <v>0.52152777777777781</v>
      </c>
    </row>
    <row r="856" spans="1:10">
      <c r="A856" t="str">
        <f>VLOOKUP(Summary!M855,Summary!$P$13:$Q$24,2)</f>
        <v>B1200-sky</v>
      </c>
      <c r="B856">
        <f>ROUND(NORMINV(Summary!M857,VLOOKUP(A856,Summary!$Q$13:$S$24,3,FALSE),VLOOKUP(A856,Summary!$Q$13:$S$24,3,FALSE)/6),-1)</f>
        <v>1320</v>
      </c>
      <c r="C856" t="str">
        <f>IF(AND(H856=0,C855=Summary!$P$2),Summary!$Q$2,IF(AND(H856=0,C855=Summary!$Q$2),Summary!$R$2,C855))</f>
        <v>Reed</v>
      </c>
      <c r="D856" t="str">
        <f>IF(C856=Summary!$P$26,VLOOKUP(Summary!M863,Summary!$Q$26:$R$27,2),IF('Run Data'!C856=Summary!$P$28,VLOOKUP(Summary!M863,Summary!$Q$28:$R$29,2),VLOOKUP(Summary!M863,Summary!$Q$30:$R$32,2)))</f>
        <v>Sprig 2</v>
      </c>
      <c r="E856" t="str">
        <f>VLOOKUP(Summary!M866,Summary!$P$42:$Q$43,2)</f>
        <v>86</v>
      </c>
      <c r="F856">
        <f>IF(LEFT(A856,3)="B60",20,IF(LEFT(A856,3)="B12",30,25))+B856*0.5+INT(Summary!M869*20)</f>
        <v>709</v>
      </c>
      <c r="G856">
        <f>ROUND(IF(OR(ISERROR(FIND(Summary!$P$89,CONCATENATE(C856,D856,E856))),ISERROR(FIND(Summary!$Q$89,A856))),Summary!$R$45,IF(H856&gt;Summary!$V$3,Summary!$R$46,Summary!$R$45))*(B856+30),0)</f>
        <v>14</v>
      </c>
      <c r="H856">
        <f>IF(H855&gt;Summary!$V$4,0,H855+F855)</f>
        <v>127962</v>
      </c>
      <c r="I856" s="26">
        <f>DATE(YEAR(Summary!$V$2),MONTH(Summary!$V$2),DAY(Summary!$V$2)+INT(H856/480))</f>
        <v>43856</v>
      </c>
      <c r="J856" s="27">
        <f t="shared" si="14"/>
        <v>0.52916666666666667</v>
      </c>
    </row>
    <row r="857" spans="1:10">
      <c r="A857" t="str">
        <f>VLOOKUP(Summary!M856,Summary!$P$13:$Q$24,2)</f>
        <v>B1700-lime</v>
      </c>
      <c r="B857">
        <f>ROUND(NORMINV(Summary!M858,VLOOKUP(A857,Summary!$Q$13:$S$24,3,FALSE),VLOOKUP(A857,Summary!$Q$13:$S$24,3,FALSE)/6),-1)</f>
        <v>470</v>
      </c>
      <c r="C857" t="str">
        <f>IF(AND(H857=0,C856=Summary!$P$2),Summary!$Q$2,IF(AND(H857=0,C856=Summary!$Q$2),Summary!$R$2,C856))</f>
        <v>Reed</v>
      </c>
      <c r="D857" t="str">
        <f>IF(C857=Summary!$P$26,VLOOKUP(Summary!M864,Summary!$Q$26:$R$27,2),IF('Run Data'!C857=Summary!$P$28,VLOOKUP(Summary!M864,Summary!$Q$28:$R$29,2),VLOOKUP(Summary!M864,Summary!$Q$30:$R$32,2)))</f>
        <v>Sprig 2</v>
      </c>
      <c r="E857" t="str">
        <f>VLOOKUP(Summary!M867,Summary!$P$42:$Q$43,2)</f>
        <v>87b</v>
      </c>
      <c r="F857">
        <f>IF(LEFT(A857,3)="B60",20,IF(LEFT(A857,3)="B12",30,25))+B857*0.5+INT(Summary!M870*20)</f>
        <v>276</v>
      </c>
      <c r="G857">
        <f>ROUND(IF(OR(ISERROR(FIND(Summary!$P$89,CONCATENATE(C857,D857,E857))),ISERROR(FIND(Summary!$Q$89,A857))),Summary!$R$45,IF(H857&gt;Summary!$V$3,Summary!$R$46,Summary!$R$45))*(B857+30),0)</f>
        <v>5</v>
      </c>
      <c r="H857">
        <f>IF(H856&gt;Summary!$V$4,0,H856+F856)</f>
        <v>128671</v>
      </c>
      <c r="I857" s="26">
        <f>DATE(YEAR(Summary!$V$2),MONTH(Summary!$V$2),DAY(Summary!$V$2)+INT(H857/480))</f>
        <v>43858</v>
      </c>
      <c r="J857" s="27">
        <f t="shared" si="14"/>
        <v>0.35486111111111113</v>
      </c>
    </row>
    <row r="858" spans="1:10">
      <c r="A858" t="str">
        <f>VLOOKUP(Summary!M857,Summary!$P$13:$Q$24,2)</f>
        <v>B1700-plum</v>
      </c>
      <c r="B858">
        <f>ROUND(NORMINV(Summary!M859,VLOOKUP(A858,Summary!$Q$13:$S$24,3,FALSE),VLOOKUP(A858,Summary!$Q$13:$S$24,3,FALSE)/6),-1)</f>
        <v>270</v>
      </c>
      <c r="C858" t="str">
        <f>IF(AND(H858=0,C857=Summary!$P$2),Summary!$Q$2,IF(AND(H858=0,C857=Summary!$Q$2),Summary!$R$2,C857))</f>
        <v>Reed</v>
      </c>
      <c r="D858" t="str">
        <f>IF(C858=Summary!$P$26,VLOOKUP(Summary!M865,Summary!$Q$26:$R$27,2),IF('Run Data'!C858=Summary!$P$28,VLOOKUP(Summary!M865,Summary!$Q$28:$R$29,2),VLOOKUP(Summary!M865,Summary!$Q$30:$R$32,2)))</f>
        <v>Sprig 2</v>
      </c>
      <c r="E858" t="str">
        <f>VLOOKUP(Summary!M868,Summary!$P$42:$Q$43,2)</f>
        <v>86</v>
      </c>
      <c r="F858">
        <f>IF(LEFT(A858,3)="B60",20,IF(LEFT(A858,3)="B12",30,25))+B858*0.5+INT(Summary!M871*20)</f>
        <v>176</v>
      </c>
      <c r="G858">
        <f>ROUND(IF(OR(ISERROR(FIND(Summary!$P$89,CONCATENATE(C858,D858,E858))),ISERROR(FIND(Summary!$Q$89,A858))),Summary!$R$45,IF(H858&gt;Summary!$V$3,Summary!$R$46,Summary!$R$45))*(B858+30),0)</f>
        <v>36</v>
      </c>
      <c r="H858">
        <f>IF(H857&gt;Summary!$V$4,0,H857+F857)</f>
        <v>128947</v>
      </c>
      <c r="I858" s="26">
        <f>DATE(YEAR(Summary!$V$2),MONTH(Summary!$V$2),DAY(Summary!$V$2)+INT(H858/480))</f>
        <v>43858</v>
      </c>
      <c r="J858" s="27">
        <f t="shared" si="14"/>
        <v>0.54652777777777783</v>
      </c>
    </row>
    <row r="859" spans="1:10">
      <c r="A859" t="str">
        <f>VLOOKUP(Summary!M858,Summary!$P$13:$Q$24,2)</f>
        <v>B1700-sky</v>
      </c>
      <c r="B859">
        <f>ROUND(NORMINV(Summary!M860,VLOOKUP(A859,Summary!$Q$13:$S$24,3,FALSE),VLOOKUP(A859,Summary!$Q$13:$S$24,3,FALSE)/6),-1)</f>
        <v>500</v>
      </c>
      <c r="C859" t="str">
        <f>IF(AND(H859=0,C858=Summary!$P$2),Summary!$Q$2,IF(AND(H859=0,C858=Summary!$Q$2),Summary!$R$2,C858))</f>
        <v>Reed</v>
      </c>
      <c r="D859" t="str">
        <f>IF(C859=Summary!$P$26,VLOOKUP(Summary!M866,Summary!$Q$26:$R$27,2),IF('Run Data'!C859=Summary!$P$28,VLOOKUP(Summary!M866,Summary!$Q$28:$R$29,2),VLOOKUP(Summary!M866,Summary!$Q$30:$R$32,2)))</f>
        <v>Sprig 2</v>
      </c>
      <c r="E859" t="str">
        <f>VLOOKUP(Summary!M869,Summary!$P$42:$Q$43,2)</f>
        <v>87b</v>
      </c>
      <c r="F859">
        <f>IF(LEFT(A859,3)="B60",20,IF(LEFT(A859,3)="B12",30,25))+B859*0.5+INT(Summary!M872*20)</f>
        <v>278</v>
      </c>
      <c r="G859">
        <f>ROUND(IF(OR(ISERROR(FIND(Summary!$P$89,CONCATENATE(C859,D859,E859))),ISERROR(FIND(Summary!$Q$89,A859))),Summary!$R$45,IF(H859&gt;Summary!$V$3,Summary!$R$46,Summary!$R$45))*(B859+30),0)</f>
        <v>5</v>
      </c>
      <c r="H859">
        <f>IF(H858&gt;Summary!$V$4,0,H858+F858)</f>
        <v>129123</v>
      </c>
      <c r="I859" s="26">
        <f>DATE(YEAR(Summary!$V$2),MONTH(Summary!$V$2),DAY(Summary!$V$2)+INT(H859/480))</f>
        <v>43859</v>
      </c>
      <c r="J859" s="27">
        <f t="shared" si="14"/>
        <v>0.3354166666666667</v>
      </c>
    </row>
    <row r="860" spans="1:10">
      <c r="A860" t="str">
        <f>VLOOKUP(Summary!M859,Summary!$P$13:$Q$24,2)</f>
        <v>B1200-plum</v>
      </c>
      <c r="B860">
        <f>ROUND(NORMINV(Summary!M861,VLOOKUP(A860,Summary!$Q$13:$S$24,3,FALSE),VLOOKUP(A860,Summary!$Q$13:$S$24,3,FALSE)/6),-1)</f>
        <v>360</v>
      </c>
      <c r="C860" t="str">
        <f>IF(AND(H860=0,C859=Summary!$P$2),Summary!$Q$2,IF(AND(H860=0,C859=Summary!$Q$2),Summary!$R$2,C859))</f>
        <v>Reed</v>
      </c>
      <c r="D860" t="str">
        <f>IF(C860=Summary!$P$26,VLOOKUP(Summary!M867,Summary!$Q$26:$R$27,2),IF('Run Data'!C860=Summary!$P$28,VLOOKUP(Summary!M867,Summary!$Q$28:$R$29,2),VLOOKUP(Summary!M867,Summary!$Q$30:$R$32,2)))</f>
        <v>Sprig 4</v>
      </c>
      <c r="E860" t="str">
        <f>VLOOKUP(Summary!M870,Summary!$P$42:$Q$43,2)</f>
        <v>86</v>
      </c>
      <c r="F860">
        <f>IF(LEFT(A860,3)="B60",20,IF(LEFT(A860,3)="B12",30,25))+B860*0.5+INT(Summary!M873*20)</f>
        <v>226</v>
      </c>
      <c r="G860">
        <f>ROUND(IF(OR(ISERROR(FIND(Summary!$P$89,CONCATENATE(C860,D860,E860))),ISERROR(FIND(Summary!$Q$89,A860))),Summary!$R$45,IF(H860&gt;Summary!$V$3,Summary!$R$46,Summary!$R$45))*(B860+30),0)</f>
        <v>4</v>
      </c>
      <c r="H860">
        <f>IF(H859&gt;Summary!$V$4,0,H859+F859)</f>
        <v>129401</v>
      </c>
      <c r="I860" s="26">
        <f>DATE(YEAR(Summary!$V$2),MONTH(Summary!$V$2),DAY(Summary!$V$2)+INT(H860/480))</f>
        <v>43859</v>
      </c>
      <c r="J860" s="27">
        <f t="shared" si="14"/>
        <v>0.52847222222222223</v>
      </c>
    </row>
    <row r="861" spans="1:10">
      <c r="A861" t="str">
        <f>VLOOKUP(Summary!M860,Summary!$P$13:$Q$24,2)</f>
        <v>B1200-plum</v>
      </c>
      <c r="B861">
        <f>ROUND(NORMINV(Summary!M862,VLOOKUP(A861,Summary!$Q$13:$S$24,3,FALSE),VLOOKUP(A861,Summary!$Q$13:$S$24,3,FALSE)/6),-1)</f>
        <v>490</v>
      </c>
      <c r="C861" t="str">
        <f>IF(AND(H861=0,C860=Summary!$P$2),Summary!$Q$2,IF(AND(H861=0,C860=Summary!$Q$2),Summary!$R$2,C860))</f>
        <v>Reed</v>
      </c>
      <c r="D861" t="str">
        <f>IF(C861=Summary!$P$26,VLOOKUP(Summary!M868,Summary!$Q$26:$R$27,2),IF('Run Data'!C861=Summary!$P$28,VLOOKUP(Summary!M868,Summary!$Q$28:$R$29,2),VLOOKUP(Summary!M868,Summary!$Q$30:$R$32,2)))</f>
        <v>Sprig 2</v>
      </c>
      <c r="E861" t="str">
        <f>VLOOKUP(Summary!M871,Summary!$P$42:$Q$43,2)</f>
        <v>86</v>
      </c>
      <c r="F861">
        <f>IF(LEFT(A861,3)="B60",20,IF(LEFT(A861,3)="B12",30,25))+B861*0.5+INT(Summary!M874*20)</f>
        <v>287</v>
      </c>
      <c r="G861">
        <f>ROUND(IF(OR(ISERROR(FIND(Summary!$P$89,CONCATENATE(C861,D861,E861))),ISERROR(FIND(Summary!$Q$89,A861))),Summary!$R$45,IF(H861&gt;Summary!$V$3,Summary!$R$46,Summary!$R$45))*(B861+30),0)</f>
        <v>5</v>
      </c>
      <c r="H861">
        <f>IF(H860&gt;Summary!$V$4,0,H860+F860)</f>
        <v>129627</v>
      </c>
      <c r="I861" s="26">
        <f>DATE(YEAR(Summary!$V$2),MONTH(Summary!$V$2),DAY(Summary!$V$2)+INT(H861/480))</f>
        <v>43860</v>
      </c>
      <c r="J861" s="27">
        <f t="shared" si="14"/>
        <v>0.3520833333333333</v>
      </c>
    </row>
    <row r="862" spans="1:10">
      <c r="A862" t="str">
        <f>VLOOKUP(Summary!M861,Summary!$P$13:$Q$24,2)</f>
        <v>B600-fire</v>
      </c>
      <c r="B862">
        <f>ROUND(NORMINV(Summary!M863,VLOOKUP(A862,Summary!$Q$13:$S$24,3,FALSE),VLOOKUP(A862,Summary!$Q$13:$S$24,3,FALSE)/6),-1)</f>
        <v>420</v>
      </c>
      <c r="C862" t="str">
        <f>IF(AND(H862=0,C861=Summary!$P$2),Summary!$Q$2,IF(AND(H862=0,C861=Summary!$Q$2),Summary!$R$2,C861))</f>
        <v>Reed</v>
      </c>
      <c r="D862" t="str">
        <f>IF(C862=Summary!$P$26,VLOOKUP(Summary!M869,Summary!$Q$26:$R$27,2),IF('Run Data'!C862=Summary!$P$28,VLOOKUP(Summary!M869,Summary!$Q$28:$R$29,2),VLOOKUP(Summary!M869,Summary!$Q$30:$R$32,2)))</f>
        <v>Sprig 4</v>
      </c>
      <c r="E862" t="str">
        <f>VLOOKUP(Summary!M872,Summary!$P$42:$Q$43,2)</f>
        <v>86</v>
      </c>
      <c r="F862">
        <f>IF(LEFT(A862,3)="B60",20,IF(LEFT(A862,3)="B12",30,25))+B862*0.5+INT(Summary!M875*20)</f>
        <v>244</v>
      </c>
      <c r="G862">
        <f>ROUND(IF(OR(ISERROR(FIND(Summary!$P$89,CONCATENATE(C862,D862,E862))),ISERROR(FIND(Summary!$Q$89,A862))),Summary!$R$45,IF(H862&gt;Summary!$V$3,Summary!$R$46,Summary!$R$45))*(B862+30),0)</f>
        <v>5</v>
      </c>
      <c r="H862">
        <f>IF(H861&gt;Summary!$V$4,0,H861+F861)</f>
        <v>129914</v>
      </c>
      <c r="I862" s="26">
        <f>DATE(YEAR(Summary!$V$2),MONTH(Summary!$V$2),DAY(Summary!$V$2)+INT(H862/480))</f>
        <v>43860</v>
      </c>
      <c r="J862" s="27">
        <f t="shared" si="14"/>
        <v>0.55138888888888882</v>
      </c>
    </row>
    <row r="863" spans="1:10">
      <c r="A863" t="str">
        <f>VLOOKUP(Summary!M862,Summary!$P$13:$Q$24,2)</f>
        <v>B1700-plum</v>
      </c>
      <c r="B863">
        <f>ROUND(NORMINV(Summary!M864,VLOOKUP(A863,Summary!$Q$13:$S$24,3,FALSE),VLOOKUP(A863,Summary!$Q$13:$S$24,3,FALSE)/6),-1)</f>
        <v>320</v>
      </c>
      <c r="C863" t="str">
        <f>IF(AND(H863=0,C862=Summary!$P$2),Summary!$Q$2,IF(AND(H863=0,C862=Summary!$Q$2),Summary!$R$2,C862))</f>
        <v>Reed</v>
      </c>
      <c r="D863" t="str">
        <f>IF(C863=Summary!$P$26,VLOOKUP(Summary!M870,Summary!$Q$26:$R$27,2),IF('Run Data'!C863=Summary!$P$28,VLOOKUP(Summary!M870,Summary!$Q$28:$R$29,2),VLOOKUP(Summary!M870,Summary!$Q$30:$R$32,2)))</f>
        <v>Sprig 4</v>
      </c>
      <c r="E863" t="str">
        <f>VLOOKUP(Summary!M873,Summary!$P$42:$Q$43,2)</f>
        <v>86</v>
      </c>
      <c r="F863">
        <f>IF(LEFT(A863,3)="B60",20,IF(LEFT(A863,3)="B12",30,25))+B863*0.5+INT(Summary!M876*20)</f>
        <v>201</v>
      </c>
      <c r="G863">
        <f>ROUND(IF(OR(ISERROR(FIND(Summary!$P$89,CONCATENATE(C863,D863,E863))),ISERROR(FIND(Summary!$Q$89,A863))),Summary!$R$45,IF(H863&gt;Summary!$V$3,Summary!$R$46,Summary!$R$45))*(B863+30),0)</f>
        <v>42</v>
      </c>
      <c r="H863">
        <f>IF(H862&gt;Summary!$V$4,0,H862+F862)</f>
        <v>130158</v>
      </c>
      <c r="I863" s="26">
        <f>DATE(YEAR(Summary!$V$2),MONTH(Summary!$V$2),DAY(Summary!$V$2)+INT(H863/480))</f>
        <v>43861</v>
      </c>
      <c r="J863" s="27">
        <f t="shared" si="14"/>
        <v>0.38750000000000001</v>
      </c>
    </row>
    <row r="864" spans="1:10">
      <c r="A864" t="str">
        <f>VLOOKUP(Summary!M863,Summary!$P$13:$Q$24,2)</f>
        <v>B1200-lime</v>
      </c>
      <c r="B864">
        <f>ROUND(NORMINV(Summary!M865,VLOOKUP(A864,Summary!$Q$13:$S$24,3,FALSE),VLOOKUP(A864,Summary!$Q$13:$S$24,3,FALSE)/6),-1)</f>
        <v>760</v>
      </c>
      <c r="C864" t="str">
        <f>IF(AND(H864=0,C863=Summary!$P$2),Summary!$Q$2,IF(AND(H864=0,C863=Summary!$Q$2),Summary!$R$2,C863))</f>
        <v>Reed</v>
      </c>
      <c r="D864" t="str">
        <f>IF(C864=Summary!$P$26,VLOOKUP(Summary!M871,Summary!$Q$26:$R$27,2),IF('Run Data'!C864=Summary!$P$28,VLOOKUP(Summary!M871,Summary!$Q$28:$R$29,2),VLOOKUP(Summary!M871,Summary!$Q$30:$R$32,2)))</f>
        <v>Sprig 4</v>
      </c>
      <c r="E864" t="str">
        <f>VLOOKUP(Summary!M874,Summary!$P$42:$Q$43,2)</f>
        <v>86</v>
      </c>
      <c r="F864">
        <f>IF(LEFT(A864,3)="B60",20,IF(LEFT(A864,3)="B12",30,25))+B864*0.5+INT(Summary!M877*20)</f>
        <v>412</v>
      </c>
      <c r="G864">
        <f>ROUND(IF(OR(ISERROR(FIND(Summary!$P$89,CONCATENATE(C864,D864,E864))),ISERROR(FIND(Summary!$Q$89,A864))),Summary!$R$45,IF(H864&gt;Summary!$V$3,Summary!$R$46,Summary!$R$45))*(B864+30),0)</f>
        <v>8</v>
      </c>
      <c r="H864">
        <f>IF(H863&gt;Summary!$V$4,0,H863+F863)</f>
        <v>130359</v>
      </c>
      <c r="I864" s="26">
        <f>DATE(YEAR(Summary!$V$2),MONTH(Summary!$V$2),DAY(Summary!$V$2)+INT(H864/480))</f>
        <v>43861</v>
      </c>
      <c r="J864" s="27">
        <f t="shared" si="14"/>
        <v>0.52708333333333335</v>
      </c>
    </row>
    <row r="865" spans="1:10">
      <c r="A865" t="str">
        <f>VLOOKUP(Summary!M864,Summary!$P$13:$Q$24,2)</f>
        <v>B1200-lime</v>
      </c>
      <c r="B865">
        <f>ROUND(NORMINV(Summary!M866,VLOOKUP(A865,Summary!$Q$13:$S$24,3,FALSE),VLOOKUP(A865,Summary!$Q$13:$S$24,3,FALSE)/6),-1)</f>
        <v>810</v>
      </c>
      <c r="C865" t="str">
        <f>IF(AND(H865=0,C864=Summary!$P$2),Summary!$Q$2,IF(AND(H865=0,C864=Summary!$Q$2),Summary!$R$2,C864))</f>
        <v>Reed</v>
      </c>
      <c r="D865" t="str">
        <f>IF(C865=Summary!$P$26,VLOOKUP(Summary!M872,Summary!$Q$26:$R$27,2),IF('Run Data'!C865=Summary!$P$28,VLOOKUP(Summary!M872,Summary!$Q$28:$R$29,2),VLOOKUP(Summary!M872,Summary!$Q$30:$R$32,2)))</f>
        <v>Sprig 2</v>
      </c>
      <c r="E865" t="str">
        <f>VLOOKUP(Summary!M875,Summary!$P$42:$Q$43,2)</f>
        <v>86</v>
      </c>
      <c r="F865">
        <f>IF(LEFT(A865,3)="B60",20,IF(LEFT(A865,3)="B12",30,25))+B865*0.5+INT(Summary!M878*20)</f>
        <v>449</v>
      </c>
      <c r="G865">
        <f>ROUND(IF(OR(ISERROR(FIND(Summary!$P$89,CONCATENATE(C865,D865,E865))),ISERROR(FIND(Summary!$Q$89,A865))),Summary!$R$45,IF(H865&gt;Summary!$V$3,Summary!$R$46,Summary!$R$45))*(B865+30),0)</f>
        <v>8</v>
      </c>
      <c r="H865">
        <f>IF(H864&gt;Summary!$V$4,0,H864+F864)</f>
        <v>130771</v>
      </c>
      <c r="I865" s="26">
        <f>DATE(YEAR(Summary!$V$2),MONTH(Summary!$V$2),DAY(Summary!$V$2)+INT(H865/480))</f>
        <v>43862</v>
      </c>
      <c r="J865" s="27">
        <f t="shared" si="14"/>
        <v>0.47986111111111113</v>
      </c>
    </row>
    <row r="866" spans="1:10">
      <c r="A866" t="str">
        <f>VLOOKUP(Summary!M865,Summary!$P$13:$Q$24,2)</f>
        <v>B1200-sky</v>
      </c>
      <c r="B866">
        <f>ROUND(NORMINV(Summary!M867,VLOOKUP(A866,Summary!$Q$13:$S$24,3,FALSE),VLOOKUP(A866,Summary!$Q$13:$S$24,3,FALSE)/6),-1)</f>
        <v>1530</v>
      </c>
      <c r="C866" t="str">
        <f>IF(AND(H866=0,C865=Summary!$P$2),Summary!$Q$2,IF(AND(H866=0,C865=Summary!$Q$2),Summary!$R$2,C865))</f>
        <v>Reed</v>
      </c>
      <c r="D866" t="str">
        <f>IF(C866=Summary!$P$26,VLOOKUP(Summary!M873,Summary!$Q$26:$R$27,2),IF('Run Data'!C866=Summary!$P$28,VLOOKUP(Summary!M873,Summary!$Q$28:$R$29,2),VLOOKUP(Summary!M873,Summary!$Q$30:$R$32,2)))</f>
        <v>Sprig 4</v>
      </c>
      <c r="E866" t="str">
        <f>VLOOKUP(Summary!M876,Summary!$P$42:$Q$43,2)</f>
        <v>86</v>
      </c>
      <c r="F866">
        <f>IF(LEFT(A866,3)="B60",20,IF(LEFT(A866,3)="B12",30,25))+B866*0.5+INT(Summary!M879*20)</f>
        <v>814</v>
      </c>
      <c r="G866">
        <f>ROUND(IF(OR(ISERROR(FIND(Summary!$P$89,CONCATENATE(C866,D866,E866))),ISERROR(FIND(Summary!$Q$89,A866))),Summary!$R$45,IF(H866&gt;Summary!$V$3,Summary!$R$46,Summary!$R$45))*(B866+30),0)</f>
        <v>16</v>
      </c>
      <c r="H866">
        <f>IF(H865&gt;Summary!$V$4,0,H865+F865)</f>
        <v>131220</v>
      </c>
      <c r="I866" s="26">
        <f>DATE(YEAR(Summary!$V$2),MONTH(Summary!$V$2),DAY(Summary!$V$2)+INT(H866/480))</f>
        <v>43863</v>
      </c>
      <c r="J866" s="27">
        <f t="shared" si="14"/>
        <v>0.45833333333333331</v>
      </c>
    </row>
    <row r="867" spans="1:10">
      <c r="A867" t="str">
        <f>VLOOKUP(Summary!M866,Summary!$P$13:$Q$24,2)</f>
        <v>B1200-fire</v>
      </c>
      <c r="B867">
        <f>ROUND(NORMINV(Summary!M868,VLOOKUP(A867,Summary!$Q$13:$S$24,3,FALSE),VLOOKUP(A867,Summary!$Q$13:$S$24,3,FALSE)/6),-1)</f>
        <v>930</v>
      </c>
      <c r="C867" t="str">
        <f>IF(AND(H867=0,C866=Summary!$P$2),Summary!$Q$2,IF(AND(H867=0,C866=Summary!$Q$2),Summary!$R$2,C866))</f>
        <v>Reed</v>
      </c>
      <c r="D867" t="str">
        <f>IF(C867=Summary!$P$26,VLOOKUP(Summary!M874,Summary!$Q$26:$R$27,2),IF('Run Data'!C867=Summary!$P$28,VLOOKUP(Summary!M874,Summary!$Q$28:$R$29,2),VLOOKUP(Summary!M874,Summary!$Q$30:$R$32,2)))</f>
        <v>Sprig 2</v>
      </c>
      <c r="E867" t="str">
        <f>VLOOKUP(Summary!M877,Summary!$P$42:$Q$43,2)</f>
        <v>86</v>
      </c>
      <c r="F867">
        <f>IF(LEFT(A867,3)="B60",20,IF(LEFT(A867,3)="B12",30,25))+B867*0.5+INT(Summary!M880*20)</f>
        <v>514</v>
      </c>
      <c r="G867">
        <f>ROUND(IF(OR(ISERROR(FIND(Summary!$P$89,CONCATENATE(C867,D867,E867))),ISERROR(FIND(Summary!$Q$89,A867))),Summary!$R$45,IF(H867&gt;Summary!$V$3,Summary!$R$46,Summary!$R$45))*(B867+30),0)</f>
        <v>10</v>
      </c>
      <c r="H867">
        <f>IF(H866&gt;Summary!$V$4,0,H866+F866)</f>
        <v>132034</v>
      </c>
      <c r="I867" s="26">
        <f>DATE(YEAR(Summary!$V$2),MONTH(Summary!$V$2),DAY(Summary!$V$2)+INT(H867/480))</f>
        <v>43865</v>
      </c>
      <c r="J867" s="27">
        <f t="shared" si="14"/>
        <v>0.35694444444444445</v>
      </c>
    </row>
    <row r="868" spans="1:10">
      <c r="A868" t="str">
        <f>VLOOKUP(Summary!M867,Summary!$P$13:$Q$24,2)</f>
        <v>B1700-lime</v>
      </c>
      <c r="B868">
        <f>ROUND(NORMINV(Summary!M869,VLOOKUP(A868,Summary!$Q$13:$S$24,3,FALSE),VLOOKUP(A868,Summary!$Q$13:$S$24,3,FALSE)/6),-1)</f>
        <v>550</v>
      </c>
      <c r="C868" t="str">
        <f>IF(AND(H868=0,C867=Summary!$P$2),Summary!$Q$2,IF(AND(H868=0,C867=Summary!$Q$2),Summary!$R$2,C867))</f>
        <v>Reed</v>
      </c>
      <c r="D868" t="str">
        <f>IF(C868=Summary!$P$26,VLOOKUP(Summary!M875,Summary!$Q$26:$R$27,2),IF('Run Data'!C868=Summary!$P$28,VLOOKUP(Summary!M875,Summary!$Q$28:$R$29,2),VLOOKUP(Summary!M875,Summary!$Q$30:$R$32,2)))</f>
        <v>Sprig 2</v>
      </c>
      <c r="E868" t="str">
        <f>VLOOKUP(Summary!M878,Summary!$P$42:$Q$43,2)</f>
        <v>86</v>
      </c>
      <c r="F868">
        <f>IF(LEFT(A868,3)="B60",20,IF(LEFT(A868,3)="B12",30,25))+B868*0.5+INT(Summary!M881*20)</f>
        <v>307</v>
      </c>
      <c r="G868">
        <f>ROUND(IF(OR(ISERROR(FIND(Summary!$P$89,CONCATENATE(C868,D868,E868))),ISERROR(FIND(Summary!$Q$89,A868))),Summary!$R$45,IF(H868&gt;Summary!$V$3,Summary!$R$46,Summary!$R$45))*(B868+30),0)</f>
        <v>70</v>
      </c>
      <c r="H868">
        <f>IF(H867&gt;Summary!$V$4,0,H867+F867)</f>
        <v>132548</v>
      </c>
      <c r="I868" s="26">
        <f>DATE(YEAR(Summary!$V$2),MONTH(Summary!$V$2),DAY(Summary!$V$2)+INT(H868/480))</f>
        <v>43866</v>
      </c>
      <c r="J868" s="27">
        <f t="shared" si="14"/>
        <v>0.38055555555555554</v>
      </c>
    </row>
    <row r="869" spans="1:10">
      <c r="A869" t="str">
        <f>VLOOKUP(Summary!M868,Summary!$P$13:$Q$24,2)</f>
        <v>B600-sky</v>
      </c>
      <c r="B869">
        <f>ROUND(NORMINV(Summary!M870,VLOOKUP(A869,Summary!$Q$13:$S$24,3,FALSE),VLOOKUP(A869,Summary!$Q$13:$S$24,3,FALSE)/6),-1)</f>
        <v>570</v>
      </c>
      <c r="C869" t="str">
        <f>IF(AND(H869=0,C868=Summary!$P$2),Summary!$Q$2,IF(AND(H869=0,C868=Summary!$Q$2),Summary!$R$2,C868))</f>
        <v>Reed</v>
      </c>
      <c r="D869" t="str">
        <f>IF(C869=Summary!$P$26,VLOOKUP(Summary!M876,Summary!$Q$26:$R$27,2),IF('Run Data'!C869=Summary!$P$28,VLOOKUP(Summary!M876,Summary!$Q$28:$R$29,2),VLOOKUP(Summary!M876,Summary!$Q$30:$R$32,2)))</f>
        <v>Sprig 4</v>
      </c>
      <c r="E869" t="str">
        <f>VLOOKUP(Summary!M879,Summary!$P$42:$Q$43,2)</f>
        <v>87b</v>
      </c>
      <c r="F869">
        <f>IF(LEFT(A869,3)="B60",20,IF(LEFT(A869,3)="B12",30,25))+B869*0.5+INT(Summary!M882*20)</f>
        <v>319</v>
      </c>
      <c r="G869">
        <f>ROUND(IF(OR(ISERROR(FIND(Summary!$P$89,CONCATENATE(C869,D869,E869))),ISERROR(FIND(Summary!$Q$89,A869))),Summary!$R$45,IF(H869&gt;Summary!$V$3,Summary!$R$46,Summary!$R$45))*(B869+30),0)</f>
        <v>6</v>
      </c>
      <c r="H869">
        <f>IF(H868&gt;Summary!$V$4,0,H868+F868)</f>
        <v>132855</v>
      </c>
      <c r="I869" s="26">
        <f>DATE(YEAR(Summary!$V$2),MONTH(Summary!$V$2),DAY(Summary!$V$2)+INT(H869/480))</f>
        <v>43866</v>
      </c>
      <c r="J869" s="27">
        <f t="shared" si="14"/>
        <v>0.59375</v>
      </c>
    </row>
    <row r="870" spans="1:10">
      <c r="A870" t="str">
        <f>VLOOKUP(Summary!M869,Summary!$P$13:$Q$24,2)</f>
        <v>B1700-lime</v>
      </c>
      <c r="B870">
        <f>ROUND(NORMINV(Summary!M871,VLOOKUP(A870,Summary!$Q$13:$S$24,3,FALSE),VLOOKUP(A870,Summary!$Q$13:$S$24,3,FALSE)/6),-1)</f>
        <v>460</v>
      </c>
      <c r="C870" t="str">
        <f>IF(AND(H870=0,C869=Summary!$P$2),Summary!$Q$2,IF(AND(H870=0,C869=Summary!$Q$2),Summary!$R$2,C869))</f>
        <v>Reed</v>
      </c>
      <c r="D870" t="str">
        <f>IF(C870=Summary!$P$26,VLOOKUP(Summary!M877,Summary!$Q$26:$R$27,2),IF('Run Data'!C870=Summary!$P$28,VLOOKUP(Summary!M877,Summary!$Q$28:$R$29,2),VLOOKUP(Summary!M877,Summary!$Q$30:$R$32,2)))</f>
        <v>Sprig 2</v>
      </c>
      <c r="E870" t="str">
        <f>VLOOKUP(Summary!M880,Summary!$P$42:$Q$43,2)</f>
        <v>87b</v>
      </c>
      <c r="F870">
        <f>IF(LEFT(A870,3)="B60",20,IF(LEFT(A870,3)="B12",30,25))+B870*0.5+INT(Summary!M883*20)</f>
        <v>267</v>
      </c>
      <c r="G870">
        <f>ROUND(IF(OR(ISERROR(FIND(Summary!$P$89,CONCATENATE(C870,D870,E870))),ISERROR(FIND(Summary!$Q$89,A870))),Summary!$R$45,IF(H870&gt;Summary!$V$3,Summary!$R$46,Summary!$R$45))*(B870+30),0)</f>
        <v>5</v>
      </c>
      <c r="H870">
        <f>IF(H869&gt;Summary!$V$4,0,H869+F869)</f>
        <v>133174</v>
      </c>
      <c r="I870" s="26">
        <f>DATE(YEAR(Summary!$V$2),MONTH(Summary!$V$2),DAY(Summary!$V$2)+INT(H870/480))</f>
        <v>43867</v>
      </c>
      <c r="J870" s="27">
        <f t="shared" si="14"/>
        <v>0.48194444444444445</v>
      </c>
    </row>
    <row r="871" spans="1:10">
      <c r="A871" t="str">
        <f>VLOOKUP(Summary!M870,Summary!$P$13:$Q$24,2)</f>
        <v>B1700-sky</v>
      </c>
      <c r="B871">
        <f>ROUND(NORMINV(Summary!M872,VLOOKUP(A871,Summary!$Q$13:$S$24,3,FALSE),VLOOKUP(A871,Summary!$Q$13:$S$24,3,FALSE)/6),-1)</f>
        <v>470</v>
      </c>
      <c r="C871" t="str">
        <f>IF(AND(H871=0,C870=Summary!$P$2),Summary!$Q$2,IF(AND(H871=0,C870=Summary!$Q$2),Summary!$R$2,C870))</f>
        <v>Reed</v>
      </c>
      <c r="D871" t="str">
        <f>IF(C871=Summary!$P$26,VLOOKUP(Summary!M878,Summary!$Q$26:$R$27,2),IF('Run Data'!C871=Summary!$P$28,VLOOKUP(Summary!M878,Summary!$Q$28:$R$29,2),VLOOKUP(Summary!M878,Summary!$Q$30:$R$32,2)))</f>
        <v>Sprig 2</v>
      </c>
      <c r="E871" t="str">
        <f>VLOOKUP(Summary!M881,Summary!$P$42:$Q$43,2)</f>
        <v>86</v>
      </c>
      <c r="F871">
        <f>IF(LEFT(A871,3)="B60",20,IF(LEFT(A871,3)="B12",30,25))+B871*0.5+INT(Summary!M884*20)</f>
        <v>275</v>
      </c>
      <c r="G871">
        <f>ROUND(IF(OR(ISERROR(FIND(Summary!$P$89,CONCATENATE(C871,D871,E871))),ISERROR(FIND(Summary!$Q$89,A871))),Summary!$R$45,IF(H871&gt;Summary!$V$3,Summary!$R$46,Summary!$R$45))*(B871+30),0)</f>
        <v>60</v>
      </c>
      <c r="H871">
        <f>IF(H870&gt;Summary!$V$4,0,H870+F870)</f>
        <v>133441</v>
      </c>
      <c r="I871" s="26">
        <f>DATE(YEAR(Summary!$V$2),MONTH(Summary!$V$2),DAY(Summary!$V$2)+INT(H871/480))</f>
        <v>43868</v>
      </c>
      <c r="J871" s="27">
        <f t="shared" si="14"/>
        <v>0.33402777777777781</v>
      </c>
    </row>
    <row r="872" spans="1:10">
      <c r="A872" t="str">
        <f>VLOOKUP(Summary!M871,Summary!$P$13:$Q$24,2)</f>
        <v>B1700-sky</v>
      </c>
      <c r="B872">
        <f>ROUND(NORMINV(Summary!M873,VLOOKUP(A872,Summary!$Q$13:$S$24,3,FALSE),VLOOKUP(A872,Summary!$Q$13:$S$24,3,FALSE)/6),-1)</f>
        <v>640</v>
      </c>
      <c r="C872" t="str">
        <f>IF(AND(H872=0,C871=Summary!$P$2),Summary!$Q$2,IF(AND(H872=0,C871=Summary!$Q$2),Summary!$R$2,C871))</f>
        <v>Reed</v>
      </c>
      <c r="D872" t="str">
        <f>IF(C872=Summary!$P$26,VLOOKUP(Summary!M879,Summary!$Q$26:$R$27,2),IF('Run Data'!C872=Summary!$P$28,VLOOKUP(Summary!M879,Summary!$Q$28:$R$29,2),VLOOKUP(Summary!M879,Summary!$Q$30:$R$32,2)))</f>
        <v>Sprig 4</v>
      </c>
      <c r="E872" t="str">
        <f>VLOOKUP(Summary!M882,Summary!$P$42:$Q$43,2)</f>
        <v>86</v>
      </c>
      <c r="F872">
        <f>IF(LEFT(A872,3)="B60",20,IF(LEFT(A872,3)="B12",30,25))+B872*0.5+INT(Summary!M885*20)</f>
        <v>364</v>
      </c>
      <c r="G872">
        <f>ROUND(IF(OR(ISERROR(FIND(Summary!$P$89,CONCATENATE(C872,D872,E872))),ISERROR(FIND(Summary!$Q$89,A872))),Summary!$R$45,IF(H872&gt;Summary!$V$3,Summary!$R$46,Summary!$R$45))*(B872+30),0)</f>
        <v>80</v>
      </c>
      <c r="H872">
        <f>IF(H871&gt;Summary!$V$4,0,H871+F871)</f>
        <v>133716</v>
      </c>
      <c r="I872" s="26">
        <f>DATE(YEAR(Summary!$V$2),MONTH(Summary!$V$2),DAY(Summary!$V$2)+INT(H872/480))</f>
        <v>43868</v>
      </c>
      <c r="J872" s="27">
        <f t="shared" si="14"/>
        <v>0.52500000000000002</v>
      </c>
    </row>
    <row r="873" spans="1:10">
      <c r="A873" t="str">
        <f>VLOOKUP(Summary!M872,Summary!$P$13:$Q$24,2)</f>
        <v>B600-lime</v>
      </c>
      <c r="B873">
        <f>ROUND(NORMINV(Summary!M874,VLOOKUP(A873,Summary!$Q$13:$S$24,3,FALSE),VLOOKUP(A873,Summary!$Q$13:$S$24,3,FALSE)/6),-1)</f>
        <v>320</v>
      </c>
      <c r="C873" t="str">
        <f>IF(AND(H873=0,C872=Summary!$P$2),Summary!$Q$2,IF(AND(H873=0,C872=Summary!$Q$2),Summary!$R$2,C872))</f>
        <v>Reed</v>
      </c>
      <c r="D873" t="str">
        <f>IF(C873=Summary!$P$26,VLOOKUP(Summary!M880,Summary!$Q$26:$R$27,2),IF('Run Data'!C873=Summary!$P$28,VLOOKUP(Summary!M880,Summary!$Q$28:$R$29,2),VLOOKUP(Summary!M880,Summary!$Q$30:$R$32,2)))</f>
        <v>Sprig 4</v>
      </c>
      <c r="E873" t="str">
        <f>VLOOKUP(Summary!M883,Summary!$P$42:$Q$43,2)</f>
        <v>86</v>
      </c>
      <c r="F873">
        <f>IF(LEFT(A873,3)="B60",20,IF(LEFT(A873,3)="B12",30,25))+B873*0.5+INT(Summary!M886*20)</f>
        <v>184</v>
      </c>
      <c r="G873">
        <f>ROUND(IF(OR(ISERROR(FIND(Summary!$P$89,CONCATENATE(C873,D873,E873))),ISERROR(FIND(Summary!$Q$89,A873))),Summary!$R$45,IF(H873&gt;Summary!$V$3,Summary!$R$46,Summary!$R$45))*(B873+30),0)</f>
        <v>4</v>
      </c>
      <c r="H873">
        <f>IF(H872&gt;Summary!$V$4,0,H872+F872)</f>
        <v>134080</v>
      </c>
      <c r="I873" s="26">
        <f>DATE(YEAR(Summary!$V$2),MONTH(Summary!$V$2),DAY(Summary!$V$2)+INT(H873/480))</f>
        <v>43869</v>
      </c>
      <c r="J873" s="27">
        <f t="shared" si="14"/>
        <v>0.44444444444444442</v>
      </c>
    </row>
    <row r="874" spans="1:10">
      <c r="A874" t="str">
        <f>VLOOKUP(Summary!M873,Summary!$P$13:$Q$24,2)</f>
        <v>B1700-sky</v>
      </c>
      <c r="B874">
        <f>ROUND(NORMINV(Summary!M875,VLOOKUP(A874,Summary!$Q$13:$S$24,3,FALSE),VLOOKUP(A874,Summary!$Q$13:$S$24,3,FALSE)/6),-1)</f>
        <v>600</v>
      </c>
      <c r="C874" t="str">
        <f>IF(AND(H874=0,C873=Summary!$P$2),Summary!$Q$2,IF(AND(H874=0,C873=Summary!$Q$2),Summary!$R$2,C873))</f>
        <v>Reed</v>
      </c>
      <c r="D874" t="str">
        <f>IF(C874=Summary!$P$26,VLOOKUP(Summary!M881,Summary!$Q$26:$R$27,2),IF('Run Data'!C874=Summary!$P$28,VLOOKUP(Summary!M881,Summary!$Q$28:$R$29,2),VLOOKUP(Summary!M881,Summary!$Q$30:$R$32,2)))</f>
        <v>Sprig 2</v>
      </c>
      <c r="E874" t="str">
        <f>VLOOKUP(Summary!M884,Summary!$P$42:$Q$43,2)</f>
        <v>86</v>
      </c>
      <c r="F874">
        <f>IF(LEFT(A874,3)="B60",20,IF(LEFT(A874,3)="B12",30,25))+B874*0.5+INT(Summary!M887*20)</f>
        <v>326</v>
      </c>
      <c r="G874">
        <f>ROUND(IF(OR(ISERROR(FIND(Summary!$P$89,CONCATENATE(C874,D874,E874))),ISERROR(FIND(Summary!$Q$89,A874))),Summary!$R$45,IF(H874&gt;Summary!$V$3,Summary!$R$46,Summary!$R$45))*(B874+30),0)</f>
        <v>76</v>
      </c>
      <c r="H874">
        <f>IF(H873&gt;Summary!$V$4,0,H873+F873)</f>
        <v>134264</v>
      </c>
      <c r="I874" s="26">
        <f>DATE(YEAR(Summary!$V$2),MONTH(Summary!$V$2),DAY(Summary!$V$2)+INT(H874/480))</f>
        <v>43869</v>
      </c>
      <c r="J874" s="27">
        <f t="shared" si="14"/>
        <v>0.57222222222222219</v>
      </c>
    </row>
    <row r="875" spans="1:10">
      <c r="A875" t="str">
        <f>VLOOKUP(Summary!M874,Summary!$P$13:$Q$24,2)</f>
        <v>B1200-lime</v>
      </c>
      <c r="B875">
        <f>ROUND(NORMINV(Summary!M876,VLOOKUP(A875,Summary!$Q$13:$S$24,3,FALSE),VLOOKUP(A875,Summary!$Q$13:$S$24,3,FALSE)/6),-1)</f>
        <v>910</v>
      </c>
      <c r="C875" t="str">
        <f>IF(AND(H875=0,C874=Summary!$P$2),Summary!$Q$2,IF(AND(H875=0,C874=Summary!$Q$2),Summary!$R$2,C874))</f>
        <v>Reed</v>
      </c>
      <c r="D875" t="str">
        <f>IF(C875=Summary!$P$26,VLOOKUP(Summary!M882,Summary!$Q$26:$R$27,2),IF('Run Data'!C875=Summary!$P$28,VLOOKUP(Summary!M882,Summary!$Q$28:$R$29,2),VLOOKUP(Summary!M882,Summary!$Q$30:$R$32,2)))</f>
        <v>Sprig 2</v>
      </c>
      <c r="E875" t="str">
        <f>VLOOKUP(Summary!M885,Summary!$P$42:$Q$43,2)</f>
        <v>87b</v>
      </c>
      <c r="F875">
        <f>IF(LEFT(A875,3)="B60",20,IF(LEFT(A875,3)="B12",30,25))+B875*0.5+INT(Summary!M888*20)</f>
        <v>488</v>
      </c>
      <c r="G875">
        <f>ROUND(IF(OR(ISERROR(FIND(Summary!$P$89,CONCATENATE(C875,D875,E875))),ISERROR(FIND(Summary!$Q$89,A875))),Summary!$R$45,IF(H875&gt;Summary!$V$3,Summary!$R$46,Summary!$R$45))*(B875+30),0)</f>
        <v>9</v>
      </c>
      <c r="H875">
        <f>IF(H874&gt;Summary!$V$4,0,H874+F874)</f>
        <v>134590</v>
      </c>
      <c r="I875" s="26">
        <f>DATE(YEAR(Summary!$V$2),MONTH(Summary!$V$2),DAY(Summary!$V$2)+INT(H875/480))</f>
        <v>43870</v>
      </c>
      <c r="J875" s="27">
        <f t="shared" si="14"/>
        <v>0.46527777777777773</v>
      </c>
    </row>
    <row r="876" spans="1:10">
      <c r="A876" t="str">
        <f>VLOOKUP(Summary!M875,Summary!$P$13:$Q$24,2)</f>
        <v>B1700-plum</v>
      </c>
      <c r="B876">
        <f>ROUND(NORMINV(Summary!M877,VLOOKUP(A876,Summary!$Q$13:$S$24,3,FALSE),VLOOKUP(A876,Summary!$Q$13:$S$24,3,FALSE)/6),-1)</f>
        <v>240</v>
      </c>
      <c r="C876" t="str">
        <f>IF(AND(H876=0,C875=Summary!$P$2),Summary!$Q$2,IF(AND(H876=0,C875=Summary!$Q$2),Summary!$R$2,C875))</f>
        <v>Reed</v>
      </c>
      <c r="D876" t="str">
        <f>IF(C876=Summary!$P$26,VLOOKUP(Summary!M883,Summary!$Q$26:$R$27,2),IF('Run Data'!C876=Summary!$P$28,VLOOKUP(Summary!M883,Summary!$Q$28:$R$29,2),VLOOKUP(Summary!M883,Summary!$Q$30:$R$32,2)))</f>
        <v>Sprig 2</v>
      </c>
      <c r="E876" t="str">
        <f>VLOOKUP(Summary!M886,Summary!$P$42:$Q$43,2)</f>
        <v>86</v>
      </c>
      <c r="F876">
        <f>IF(LEFT(A876,3)="B60",20,IF(LEFT(A876,3)="B12",30,25))+B876*0.5+INT(Summary!M889*20)</f>
        <v>154</v>
      </c>
      <c r="G876">
        <f>ROUND(IF(OR(ISERROR(FIND(Summary!$P$89,CONCATENATE(C876,D876,E876))),ISERROR(FIND(Summary!$Q$89,A876))),Summary!$R$45,IF(H876&gt;Summary!$V$3,Summary!$R$46,Summary!$R$45))*(B876+30),0)</f>
        <v>32</v>
      </c>
      <c r="H876">
        <f>IF(H875&gt;Summary!$V$4,0,H875+F875)</f>
        <v>135078</v>
      </c>
      <c r="I876" s="26">
        <f>DATE(YEAR(Summary!$V$2),MONTH(Summary!$V$2),DAY(Summary!$V$2)+INT(H876/480))</f>
        <v>43871</v>
      </c>
      <c r="J876" s="27">
        <f t="shared" si="14"/>
        <v>0.47083333333333338</v>
      </c>
    </row>
    <row r="877" spans="1:10">
      <c r="A877" t="str">
        <f>VLOOKUP(Summary!M876,Summary!$P$13:$Q$24,2)</f>
        <v>B1700-sky</v>
      </c>
      <c r="B877">
        <f>ROUND(NORMINV(Summary!M878,VLOOKUP(A877,Summary!$Q$13:$S$24,3,FALSE),VLOOKUP(A877,Summary!$Q$13:$S$24,3,FALSE)/6),-1)</f>
        <v>610</v>
      </c>
      <c r="C877" t="str">
        <f>IF(AND(H877=0,C876=Summary!$P$2),Summary!$Q$2,IF(AND(H877=0,C876=Summary!$Q$2),Summary!$R$2,C876))</f>
        <v>Reed</v>
      </c>
      <c r="D877" t="str">
        <f>IF(C877=Summary!$P$26,VLOOKUP(Summary!M884,Summary!$Q$26:$R$27,2),IF('Run Data'!C877=Summary!$P$28,VLOOKUP(Summary!M884,Summary!$Q$28:$R$29,2),VLOOKUP(Summary!M884,Summary!$Q$30:$R$32,2)))</f>
        <v>Sprig 2</v>
      </c>
      <c r="E877" t="str">
        <f>VLOOKUP(Summary!M887,Summary!$P$42:$Q$43,2)</f>
        <v>86</v>
      </c>
      <c r="F877">
        <f>IF(LEFT(A877,3)="B60",20,IF(LEFT(A877,3)="B12",30,25))+B877*0.5+INT(Summary!M890*20)</f>
        <v>348</v>
      </c>
      <c r="G877">
        <f>ROUND(IF(OR(ISERROR(FIND(Summary!$P$89,CONCATENATE(C877,D877,E877))),ISERROR(FIND(Summary!$Q$89,A877))),Summary!$R$45,IF(H877&gt;Summary!$V$3,Summary!$R$46,Summary!$R$45))*(B877+30),0)</f>
        <v>77</v>
      </c>
      <c r="H877">
        <f>IF(H876&gt;Summary!$V$4,0,H876+F876)</f>
        <v>135232</v>
      </c>
      <c r="I877" s="26">
        <f>DATE(YEAR(Summary!$V$2),MONTH(Summary!$V$2),DAY(Summary!$V$2)+INT(H877/480))</f>
        <v>43871</v>
      </c>
      <c r="J877" s="27">
        <f t="shared" si="14"/>
        <v>0.57777777777777783</v>
      </c>
    </row>
    <row r="878" spans="1:10">
      <c r="A878" t="str">
        <f>VLOOKUP(Summary!M877,Summary!$P$13:$Q$24,2)</f>
        <v>B600-fire</v>
      </c>
      <c r="B878">
        <f>ROUND(NORMINV(Summary!M879,VLOOKUP(A878,Summary!$Q$13:$S$24,3,FALSE),VLOOKUP(A878,Summary!$Q$13:$S$24,3,FALSE)/6),-1)</f>
        <v>520</v>
      </c>
      <c r="C878" t="str">
        <f>IF(AND(H878=0,C877=Summary!$P$2),Summary!$Q$2,IF(AND(H878=0,C877=Summary!$Q$2),Summary!$R$2,C877))</f>
        <v>Reed</v>
      </c>
      <c r="D878" t="str">
        <f>IF(C878=Summary!$P$26,VLOOKUP(Summary!M885,Summary!$Q$26:$R$27,2),IF('Run Data'!C878=Summary!$P$28,VLOOKUP(Summary!M885,Summary!$Q$28:$R$29,2),VLOOKUP(Summary!M885,Summary!$Q$30:$R$32,2)))</f>
        <v>Sprig 4</v>
      </c>
      <c r="E878" t="str">
        <f>VLOOKUP(Summary!M888,Summary!$P$42:$Q$43,2)</f>
        <v>86</v>
      </c>
      <c r="F878">
        <f>IF(LEFT(A878,3)="B60",20,IF(LEFT(A878,3)="B12",30,25))+B878*0.5+INT(Summary!M891*20)</f>
        <v>295</v>
      </c>
      <c r="G878">
        <f>ROUND(IF(OR(ISERROR(FIND(Summary!$P$89,CONCATENATE(C878,D878,E878))),ISERROR(FIND(Summary!$Q$89,A878))),Summary!$R$45,IF(H878&gt;Summary!$V$3,Summary!$R$46,Summary!$R$45))*(B878+30),0)</f>
        <v>6</v>
      </c>
      <c r="H878">
        <f>IF(H877&gt;Summary!$V$4,0,H877+F877)</f>
        <v>135580</v>
      </c>
      <c r="I878" s="26">
        <f>DATE(YEAR(Summary!$V$2),MONTH(Summary!$V$2),DAY(Summary!$V$2)+INT(H878/480))</f>
        <v>43872</v>
      </c>
      <c r="J878" s="27">
        <f t="shared" si="14"/>
        <v>0.4861111111111111</v>
      </c>
    </row>
    <row r="879" spans="1:10">
      <c r="A879" t="str">
        <f>VLOOKUP(Summary!M878,Summary!$P$13:$Q$24,2)</f>
        <v>B1700-plum</v>
      </c>
      <c r="B879">
        <f>ROUND(NORMINV(Summary!M880,VLOOKUP(A879,Summary!$Q$13:$S$24,3,FALSE),VLOOKUP(A879,Summary!$Q$13:$S$24,3,FALSE)/6),-1)</f>
        <v>410</v>
      </c>
      <c r="C879" t="str">
        <f>IF(AND(H879=0,C878=Summary!$P$2),Summary!$Q$2,IF(AND(H879=0,C878=Summary!$Q$2),Summary!$R$2,C878))</f>
        <v>Reed</v>
      </c>
      <c r="D879" t="str">
        <f>IF(C879=Summary!$P$26,VLOOKUP(Summary!M886,Summary!$Q$26:$R$27,2),IF('Run Data'!C879=Summary!$P$28,VLOOKUP(Summary!M886,Summary!$Q$28:$R$29,2),VLOOKUP(Summary!M886,Summary!$Q$30:$R$32,2)))</f>
        <v>Sprig 2</v>
      </c>
      <c r="E879" t="str">
        <f>VLOOKUP(Summary!M889,Summary!$P$42:$Q$43,2)</f>
        <v>86</v>
      </c>
      <c r="F879">
        <f>IF(LEFT(A879,3)="B60",20,IF(LEFT(A879,3)="B12",30,25))+B879*0.5+INT(Summary!M892*20)</f>
        <v>245</v>
      </c>
      <c r="G879">
        <f>ROUND(IF(OR(ISERROR(FIND(Summary!$P$89,CONCATENATE(C879,D879,E879))),ISERROR(FIND(Summary!$Q$89,A879))),Summary!$R$45,IF(H879&gt;Summary!$V$3,Summary!$R$46,Summary!$R$45))*(B879+30),0)</f>
        <v>53</v>
      </c>
      <c r="H879">
        <f>IF(H878&gt;Summary!$V$4,0,H878+F878)</f>
        <v>135875</v>
      </c>
      <c r="I879" s="26">
        <f>DATE(YEAR(Summary!$V$2),MONTH(Summary!$V$2),DAY(Summary!$V$2)+INT(H879/480))</f>
        <v>43873</v>
      </c>
      <c r="J879" s="27">
        <f t="shared" si="14"/>
        <v>0.3576388888888889</v>
      </c>
    </row>
    <row r="880" spans="1:10">
      <c r="A880" t="str">
        <f>VLOOKUP(Summary!M879,Summary!$P$13:$Q$24,2)</f>
        <v>B1700-lime</v>
      </c>
      <c r="B880">
        <f>ROUND(NORMINV(Summary!M881,VLOOKUP(A880,Summary!$Q$13:$S$24,3,FALSE),VLOOKUP(A880,Summary!$Q$13:$S$24,3,FALSE)/6),-1)</f>
        <v>380</v>
      </c>
      <c r="C880" t="str">
        <f>IF(AND(H880=0,C879=Summary!$P$2),Summary!$Q$2,IF(AND(H880=0,C879=Summary!$Q$2),Summary!$R$2,C879))</f>
        <v>Reed</v>
      </c>
      <c r="D880" t="str">
        <f>IF(C880=Summary!$P$26,VLOOKUP(Summary!M887,Summary!$Q$26:$R$27,2),IF('Run Data'!C880=Summary!$P$28,VLOOKUP(Summary!M887,Summary!$Q$28:$R$29,2),VLOOKUP(Summary!M887,Summary!$Q$30:$R$32,2)))</f>
        <v>Sprig 2</v>
      </c>
      <c r="E880" t="str">
        <f>VLOOKUP(Summary!M890,Summary!$P$42:$Q$43,2)</f>
        <v>87b</v>
      </c>
      <c r="F880">
        <f>IF(LEFT(A880,3)="B60",20,IF(LEFT(A880,3)="B12",30,25))+B880*0.5+INT(Summary!M893*20)</f>
        <v>215</v>
      </c>
      <c r="G880">
        <f>ROUND(IF(OR(ISERROR(FIND(Summary!$P$89,CONCATENATE(C880,D880,E880))),ISERROR(FIND(Summary!$Q$89,A880))),Summary!$R$45,IF(H880&gt;Summary!$V$3,Summary!$R$46,Summary!$R$45))*(B880+30),0)</f>
        <v>4</v>
      </c>
      <c r="H880">
        <f>IF(H879&gt;Summary!$V$4,0,H879+F879)</f>
        <v>136120</v>
      </c>
      <c r="I880" s="26">
        <f>DATE(YEAR(Summary!$V$2),MONTH(Summary!$V$2),DAY(Summary!$V$2)+INT(H880/480))</f>
        <v>43873</v>
      </c>
      <c r="J880" s="27">
        <f t="shared" si="14"/>
        <v>0.52777777777777779</v>
      </c>
    </row>
    <row r="881" spans="1:10">
      <c r="A881" t="str">
        <f>VLOOKUP(Summary!M880,Summary!$P$13:$Q$24,2)</f>
        <v>B1700-lime</v>
      </c>
      <c r="B881">
        <f>ROUND(NORMINV(Summary!M882,VLOOKUP(A881,Summary!$Q$13:$S$24,3,FALSE),VLOOKUP(A881,Summary!$Q$13:$S$24,3,FALSE)/6),-1)</f>
        <v>440</v>
      </c>
      <c r="C881" t="str">
        <f>IF(AND(H881=0,C880=Summary!$P$2),Summary!$Q$2,IF(AND(H881=0,C880=Summary!$Q$2),Summary!$R$2,C880))</f>
        <v>Reed</v>
      </c>
      <c r="D881" t="str">
        <f>IF(C881=Summary!$P$26,VLOOKUP(Summary!M888,Summary!$Q$26:$R$27,2),IF('Run Data'!C881=Summary!$P$28,VLOOKUP(Summary!M888,Summary!$Q$28:$R$29,2),VLOOKUP(Summary!M888,Summary!$Q$30:$R$32,2)))</f>
        <v>Sprig 2</v>
      </c>
      <c r="E881" t="str">
        <f>VLOOKUP(Summary!M891,Summary!$P$42:$Q$43,2)</f>
        <v>86</v>
      </c>
      <c r="F881">
        <f>IF(LEFT(A881,3)="B60",20,IF(LEFT(A881,3)="B12",30,25))+B881*0.5+INT(Summary!M894*20)</f>
        <v>248</v>
      </c>
      <c r="G881">
        <f>ROUND(IF(OR(ISERROR(FIND(Summary!$P$89,CONCATENATE(C881,D881,E881))),ISERROR(FIND(Summary!$Q$89,A881))),Summary!$R$45,IF(H881&gt;Summary!$V$3,Summary!$R$46,Summary!$R$45))*(B881+30),0)</f>
        <v>56</v>
      </c>
      <c r="H881">
        <f>IF(H880&gt;Summary!$V$4,0,H880+F880)</f>
        <v>136335</v>
      </c>
      <c r="I881" s="26">
        <f>DATE(YEAR(Summary!$V$2),MONTH(Summary!$V$2),DAY(Summary!$V$2)+INT(H881/480))</f>
        <v>43874</v>
      </c>
      <c r="J881" s="27">
        <f t="shared" si="14"/>
        <v>0.34375</v>
      </c>
    </row>
    <row r="882" spans="1:10">
      <c r="A882" t="str">
        <f>VLOOKUP(Summary!M881,Summary!$P$13:$Q$24,2)</f>
        <v>B1200-sky</v>
      </c>
      <c r="B882">
        <f>ROUND(NORMINV(Summary!M883,VLOOKUP(A882,Summary!$Q$13:$S$24,3,FALSE),VLOOKUP(A882,Summary!$Q$13:$S$24,3,FALSE)/6),-1)</f>
        <v>1260</v>
      </c>
      <c r="C882" t="str">
        <f>IF(AND(H882=0,C881=Summary!$P$2),Summary!$Q$2,IF(AND(H882=0,C881=Summary!$Q$2),Summary!$R$2,C881))</f>
        <v>Reed</v>
      </c>
      <c r="D882" t="str">
        <f>IF(C882=Summary!$P$26,VLOOKUP(Summary!M889,Summary!$Q$26:$R$27,2),IF('Run Data'!C882=Summary!$P$28,VLOOKUP(Summary!M889,Summary!$Q$28:$R$29,2),VLOOKUP(Summary!M889,Summary!$Q$30:$R$32,2)))</f>
        <v>Sprig 2</v>
      </c>
      <c r="E882" t="str">
        <f>VLOOKUP(Summary!M892,Summary!$P$42:$Q$43,2)</f>
        <v>86</v>
      </c>
      <c r="F882">
        <f>IF(LEFT(A882,3)="B60",20,IF(LEFT(A882,3)="B12",30,25))+B882*0.5+INT(Summary!M895*20)</f>
        <v>664</v>
      </c>
      <c r="G882">
        <f>ROUND(IF(OR(ISERROR(FIND(Summary!$P$89,CONCATENATE(C882,D882,E882))),ISERROR(FIND(Summary!$Q$89,A882))),Summary!$R$45,IF(H882&gt;Summary!$V$3,Summary!$R$46,Summary!$R$45))*(B882+30),0)</f>
        <v>13</v>
      </c>
      <c r="H882">
        <f>IF(H881&gt;Summary!$V$4,0,H881+F881)</f>
        <v>136583</v>
      </c>
      <c r="I882" s="26">
        <f>DATE(YEAR(Summary!$V$2),MONTH(Summary!$V$2),DAY(Summary!$V$2)+INT(H882/480))</f>
        <v>43874</v>
      </c>
      <c r="J882" s="27">
        <f t="shared" si="14"/>
        <v>0.51597222222222217</v>
      </c>
    </row>
    <row r="883" spans="1:10">
      <c r="A883" t="str">
        <f>VLOOKUP(Summary!M882,Summary!$P$13:$Q$24,2)</f>
        <v>B1700-plum</v>
      </c>
      <c r="B883">
        <f>ROUND(NORMINV(Summary!M884,VLOOKUP(A883,Summary!$Q$13:$S$24,3,FALSE),VLOOKUP(A883,Summary!$Q$13:$S$24,3,FALSE)/6),-1)</f>
        <v>340</v>
      </c>
      <c r="C883" t="str">
        <f>IF(AND(H883=0,C882=Summary!$P$2),Summary!$Q$2,IF(AND(H883=0,C882=Summary!$Q$2),Summary!$R$2,C882))</f>
        <v>Reed</v>
      </c>
      <c r="D883" t="str">
        <f>IF(C883=Summary!$P$26,VLOOKUP(Summary!M890,Summary!$Q$26:$R$27,2),IF('Run Data'!C883=Summary!$P$28,VLOOKUP(Summary!M890,Summary!$Q$28:$R$29,2),VLOOKUP(Summary!M890,Summary!$Q$30:$R$32,2)))</f>
        <v>Sprig 4</v>
      </c>
      <c r="E883" t="str">
        <f>VLOOKUP(Summary!M893,Summary!$P$42:$Q$43,2)</f>
        <v>86</v>
      </c>
      <c r="F883">
        <f>IF(LEFT(A883,3)="B60",20,IF(LEFT(A883,3)="B12",30,25))+B883*0.5+INT(Summary!M896*20)</f>
        <v>206</v>
      </c>
      <c r="G883">
        <f>ROUND(IF(OR(ISERROR(FIND(Summary!$P$89,CONCATENATE(C883,D883,E883))),ISERROR(FIND(Summary!$Q$89,A883))),Summary!$R$45,IF(H883&gt;Summary!$V$3,Summary!$R$46,Summary!$R$45))*(B883+30),0)</f>
        <v>44</v>
      </c>
      <c r="H883">
        <f>IF(H882&gt;Summary!$V$4,0,H882+F882)</f>
        <v>137247</v>
      </c>
      <c r="I883" s="26">
        <f>DATE(YEAR(Summary!$V$2),MONTH(Summary!$V$2),DAY(Summary!$V$2)+INT(H883/480))</f>
        <v>43875</v>
      </c>
      <c r="J883" s="27">
        <f t="shared" si="14"/>
        <v>0.64374999999999993</v>
      </c>
    </row>
    <row r="884" spans="1:10">
      <c r="A884" t="str">
        <f>VLOOKUP(Summary!M883,Summary!$P$13:$Q$24,2)</f>
        <v>B1200-lime</v>
      </c>
      <c r="B884">
        <f>ROUND(NORMINV(Summary!M885,VLOOKUP(A884,Summary!$Q$13:$S$24,3,FALSE),VLOOKUP(A884,Summary!$Q$13:$S$24,3,FALSE)/6),-1)</f>
        <v>1030</v>
      </c>
      <c r="C884" t="str">
        <f>IF(AND(H884=0,C883=Summary!$P$2),Summary!$Q$2,IF(AND(H884=0,C883=Summary!$Q$2),Summary!$R$2,C883))</f>
        <v>Reed</v>
      </c>
      <c r="D884" t="str">
        <f>IF(C884=Summary!$P$26,VLOOKUP(Summary!M891,Summary!$Q$26:$R$27,2),IF('Run Data'!C884=Summary!$P$28,VLOOKUP(Summary!M891,Summary!$Q$28:$R$29,2),VLOOKUP(Summary!M891,Summary!$Q$30:$R$32,2)))</f>
        <v>Sprig 2</v>
      </c>
      <c r="E884" t="str">
        <f>VLOOKUP(Summary!M894,Summary!$P$42:$Q$43,2)</f>
        <v>86</v>
      </c>
      <c r="F884">
        <f>IF(LEFT(A884,3)="B60",20,IF(LEFT(A884,3)="B12",30,25))+B884*0.5+INT(Summary!M897*20)</f>
        <v>547</v>
      </c>
      <c r="G884">
        <f>ROUND(IF(OR(ISERROR(FIND(Summary!$P$89,CONCATENATE(C884,D884,E884))),ISERROR(FIND(Summary!$Q$89,A884))),Summary!$R$45,IF(H884&gt;Summary!$V$3,Summary!$R$46,Summary!$R$45))*(B884+30),0)</f>
        <v>11</v>
      </c>
      <c r="H884">
        <f>IF(H883&gt;Summary!$V$4,0,H883+F883)</f>
        <v>137453</v>
      </c>
      <c r="I884" s="26">
        <f>DATE(YEAR(Summary!$V$2),MONTH(Summary!$V$2),DAY(Summary!$V$2)+INT(H884/480))</f>
        <v>43876</v>
      </c>
      <c r="J884" s="27">
        <f t="shared" si="14"/>
        <v>0.45347222222222222</v>
      </c>
    </row>
    <row r="885" spans="1:10">
      <c r="A885" t="str">
        <f>VLOOKUP(Summary!M884,Summary!$P$13:$Q$24,2)</f>
        <v>B1700-plum</v>
      </c>
      <c r="B885">
        <f>ROUND(NORMINV(Summary!M886,VLOOKUP(A885,Summary!$Q$13:$S$24,3,FALSE),VLOOKUP(A885,Summary!$Q$13:$S$24,3,FALSE)/6),-1)</f>
        <v>260</v>
      </c>
      <c r="C885" t="str">
        <f>IF(AND(H885=0,C884=Summary!$P$2),Summary!$Q$2,IF(AND(H885=0,C884=Summary!$Q$2),Summary!$R$2,C884))</f>
        <v>Reed</v>
      </c>
      <c r="D885" t="str">
        <f>IF(C885=Summary!$P$26,VLOOKUP(Summary!M892,Summary!$Q$26:$R$27,2),IF('Run Data'!C885=Summary!$P$28,VLOOKUP(Summary!M892,Summary!$Q$28:$R$29,2),VLOOKUP(Summary!M892,Summary!$Q$30:$R$32,2)))</f>
        <v>Sprig 2</v>
      </c>
      <c r="E885" t="str">
        <f>VLOOKUP(Summary!M895,Summary!$P$42:$Q$43,2)</f>
        <v>86</v>
      </c>
      <c r="F885">
        <f>IF(LEFT(A885,3)="B60",20,IF(LEFT(A885,3)="B12",30,25))+B885*0.5+INT(Summary!M898*20)</f>
        <v>166</v>
      </c>
      <c r="G885">
        <f>ROUND(IF(OR(ISERROR(FIND(Summary!$P$89,CONCATENATE(C885,D885,E885))),ISERROR(FIND(Summary!$Q$89,A885))),Summary!$R$45,IF(H885&gt;Summary!$V$3,Summary!$R$46,Summary!$R$45))*(B885+30),0)</f>
        <v>35</v>
      </c>
      <c r="H885">
        <f>IF(H884&gt;Summary!$V$4,0,H884+F884)</f>
        <v>138000</v>
      </c>
      <c r="I885" s="26">
        <f>DATE(YEAR(Summary!$V$2),MONTH(Summary!$V$2),DAY(Summary!$V$2)+INT(H885/480))</f>
        <v>43877</v>
      </c>
      <c r="J885" s="27">
        <f t="shared" si="14"/>
        <v>0.5</v>
      </c>
    </row>
    <row r="886" spans="1:10">
      <c r="A886" t="str">
        <f>VLOOKUP(Summary!M885,Summary!$P$13:$Q$24,2)</f>
        <v>B1700-lime</v>
      </c>
      <c r="B886">
        <f>ROUND(NORMINV(Summary!M887,VLOOKUP(A886,Summary!$Q$13:$S$24,3,FALSE),VLOOKUP(A886,Summary!$Q$13:$S$24,3,FALSE)/6),-1)</f>
        <v>310</v>
      </c>
      <c r="C886" t="str">
        <f>IF(AND(H886=0,C885=Summary!$P$2),Summary!$Q$2,IF(AND(H886=0,C885=Summary!$Q$2),Summary!$R$2,C885))</f>
        <v>Reed</v>
      </c>
      <c r="D886" t="str">
        <f>IF(C886=Summary!$P$26,VLOOKUP(Summary!M893,Summary!$Q$26:$R$27,2),IF('Run Data'!C886=Summary!$P$28,VLOOKUP(Summary!M893,Summary!$Q$28:$R$29,2),VLOOKUP(Summary!M893,Summary!$Q$30:$R$32,2)))</f>
        <v>Sprig 2</v>
      </c>
      <c r="E886" t="str">
        <f>VLOOKUP(Summary!M896,Summary!$P$42:$Q$43,2)</f>
        <v>86</v>
      </c>
      <c r="F886">
        <f>IF(LEFT(A886,3)="B60",20,IF(LEFT(A886,3)="B12",30,25))+B886*0.5+INT(Summary!M899*20)</f>
        <v>195</v>
      </c>
      <c r="G886">
        <f>ROUND(IF(OR(ISERROR(FIND(Summary!$P$89,CONCATENATE(C886,D886,E886))),ISERROR(FIND(Summary!$Q$89,A886))),Summary!$R$45,IF(H886&gt;Summary!$V$3,Summary!$R$46,Summary!$R$45))*(B886+30),0)</f>
        <v>41</v>
      </c>
      <c r="H886">
        <f>IF(H885&gt;Summary!$V$4,0,H885+F885)</f>
        <v>138166</v>
      </c>
      <c r="I886" s="26">
        <f>DATE(YEAR(Summary!$V$2),MONTH(Summary!$V$2),DAY(Summary!$V$2)+INT(H886/480))</f>
        <v>43877</v>
      </c>
      <c r="J886" s="27">
        <f t="shared" si="14"/>
        <v>0.61527777777777781</v>
      </c>
    </row>
    <row r="887" spans="1:10">
      <c r="A887" t="str">
        <f>VLOOKUP(Summary!M886,Summary!$P$13:$Q$24,2)</f>
        <v>B600-lime</v>
      </c>
      <c r="B887">
        <f>ROUND(NORMINV(Summary!M888,VLOOKUP(A887,Summary!$Q$13:$S$24,3,FALSE),VLOOKUP(A887,Summary!$Q$13:$S$24,3,FALSE)/6),-1)</f>
        <v>250</v>
      </c>
      <c r="C887" t="str">
        <f>IF(AND(H887=0,C886=Summary!$P$2),Summary!$Q$2,IF(AND(H887=0,C886=Summary!$Q$2),Summary!$R$2,C886))</f>
        <v>Reed</v>
      </c>
      <c r="D887" t="str">
        <f>IF(C887=Summary!$P$26,VLOOKUP(Summary!M894,Summary!$Q$26:$R$27,2),IF('Run Data'!C887=Summary!$P$28,VLOOKUP(Summary!M894,Summary!$Q$28:$R$29,2),VLOOKUP(Summary!M894,Summary!$Q$30:$R$32,2)))</f>
        <v>Sprig 2</v>
      </c>
      <c r="E887" t="str">
        <f>VLOOKUP(Summary!M897,Summary!$P$42:$Q$43,2)</f>
        <v>86</v>
      </c>
      <c r="F887">
        <f>IF(LEFT(A887,3)="B60",20,IF(LEFT(A887,3)="B12",30,25))+B887*0.5+INT(Summary!M900*20)</f>
        <v>158</v>
      </c>
      <c r="G887">
        <f>ROUND(IF(OR(ISERROR(FIND(Summary!$P$89,CONCATENATE(C887,D887,E887))),ISERROR(FIND(Summary!$Q$89,A887))),Summary!$R$45,IF(H887&gt;Summary!$V$3,Summary!$R$46,Summary!$R$45))*(B887+30),0)</f>
        <v>3</v>
      </c>
      <c r="H887">
        <f>IF(H886&gt;Summary!$V$4,0,H886+F886)</f>
        <v>138361</v>
      </c>
      <c r="I887" s="26">
        <f>DATE(YEAR(Summary!$V$2),MONTH(Summary!$V$2),DAY(Summary!$V$2)+INT(H887/480))</f>
        <v>43878</v>
      </c>
      <c r="J887" s="27">
        <f t="shared" si="14"/>
        <v>0.41736111111111113</v>
      </c>
    </row>
    <row r="888" spans="1:10">
      <c r="A888" t="str">
        <f>VLOOKUP(Summary!M887,Summary!$P$13:$Q$24,2)</f>
        <v>B600-sky</v>
      </c>
      <c r="B888">
        <f>ROUND(NORMINV(Summary!M889,VLOOKUP(A888,Summary!$Q$13:$S$24,3,FALSE),VLOOKUP(A888,Summary!$Q$13:$S$24,3,FALSE)/6),-1)</f>
        <v>500</v>
      </c>
      <c r="C888" t="str">
        <f>IF(AND(H888=0,C887=Summary!$P$2),Summary!$Q$2,IF(AND(H888=0,C887=Summary!$Q$2),Summary!$R$2,C887))</f>
        <v>Reed</v>
      </c>
      <c r="D888" t="str">
        <f>IF(C888=Summary!$P$26,VLOOKUP(Summary!M895,Summary!$Q$26:$R$27,2),IF('Run Data'!C888=Summary!$P$28,VLOOKUP(Summary!M895,Summary!$Q$28:$R$29,2),VLOOKUP(Summary!M895,Summary!$Q$30:$R$32,2)))</f>
        <v>Sprig 2</v>
      </c>
      <c r="E888" t="str">
        <f>VLOOKUP(Summary!M898,Summary!$P$42:$Q$43,2)</f>
        <v>86</v>
      </c>
      <c r="F888">
        <f>IF(LEFT(A888,3)="B60",20,IF(LEFT(A888,3)="B12",30,25))+B888*0.5+INT(Summary!M901*20)</f>
        <v>277</v>
      </c>
      <c r="G888">
        <f>ROUND(IF(OR(ISERROR(FIND(Summary!$P$89,CONCATENATE(C888,D888,E888))),ISERROR(FIND(Summary!$Q$89,A888))),Summary!$R$45,IF(H888&gt;Summary!$V$3,Summary!$R$46,Summary!$R$45))*(B888+30),0)</f>
        <v>5</v>
      </c>
      <c r="H888">
        <f>IF(H887&gt;Summary!$V$4,0,H887+F887)</f>
        <v>138519</v>
      </c>
      <c r="I888" s="26">
        <f>DATE(YEAR(Summary!$V$2),MONTH(Summary!$V$2),DAY(Summary!$V$2)+INT(H888/480))</f>
        <v>43878</v>
      </c>
      <c r="J888" s="27">
        <f t="shared" si="14"/>
        <v>0.52708333333333335</v>
      </c>
    </row>
    <row r="889" spans="1:10">
      <c r="A889" t="str">
        <f>VLOOKUP(Summary!M888,Summary!$P$13:$Q$24,2)</f>
        <v>B600-fire</v>
      </c>
      <c r="B889">
        <f>ROUND(NORMINV(Summary!M890,VLOOKUP(A889,Summary!$Q$13:$S$24,3,FALSE),VLOOKUP(A889,Summary!$Q$13:$S$24,3,FALSE)/6),-1)</f>
        <v>500</v>
      </c>
      <c r="C889" t="str">
        <f>IF(AND(H889=0,C888=Summary!$P$2),Summary!$Q$2,IF(AND(H889=0,C888=Summary!$Q$2),Summary!$R$2,C888))</f>
        <v>Reed</v>
      </c>
      <c r="D889" t="str">
        <f>IF(C889=Summary!$P$26,VLOOKUP(Summary!M896,Summary!$Q$26:$R$27,2),IF('Run Data'!C889=Summary!$P$28,VLOOKUP(Summary!M896,Summary!$Q$28:$R$29,2),VLOOKUP(Summary!M896,Summary!$Q$30:$R$32,2)))</f>
        <v>Sprig 2</v>
      </c>
      <c r="E889" t="str">
        <f>VLOOKUP(Summary!M899,Summary!$P$42:$Q$43,2)</f>
        <v>86</v>
      </c>
      <c r="F889">
        <f>IF(LEFT(A889,3)="B60",20,IF(LEFT(A889,3)="B12",30,25))+B889*0.5+INT(Summary!M902*20)</f>
        <v>277</v>
      </c>
      <c r="G889">
        <f>ROUND(IF(OR(ISERROR(FIND(Summary!$P$89,CONCATENATE(C889,D889,E889))),ISERROR(FIND(Summary!$Q$89,A889))),Summary!$R$45,IF(H889&gt;Summary!$V$3,Summary!$R$46,Summary!$R$45))*(B889+30),0)</f>
        <v>5</v>
      </c>
      <c r="H889">
        <f>IF(H888&gt;Summary!$V$4,0,H888+F888)</f>
        <v>138796</v>
      </c>
      <c r="I889" s="26">
        <f>DATE(YEAR(Summary!$V$2),MONTH(Summary!$V$2),DAY(Summary!$V$2)+INT(H889/480))</f>
        <v>43879</v>
      </c>
      <c r="J889" s="27">
        <f t="shared" si="14"/>
        <v>0.38611111111111113</v>
      </c>
    </row>
    <row r="890" spans="1:10">
      <c r="A890" t="str">
        <f>VLOOKUP(Summary!M889,Summary!$P$13:$Q$24,2)</f>
        <v>B1200-fire</v>
      </c>
      <c r="B890">
        <f>ROUND(NORMINV(Summary!M891,VLOOKUP(A890,Summary!$Q$13:$S$24,3,FALSE),VLOOKUP(A890,Summary!$Q$13:$S$24,3,FALSE)/6),-1)</f>
        <v>1350</v>
      </c>
      <c r="C890" t="str">
        <f>IF(AND(H890=0,C889=Summary!$P$2),Summary!$Q$2,IF(AND(H890=0,C889=Summary!$Q$2),Summary!$R$2,C889))</f>
        <v>Reed</v>
      </c>
      <c r="D890" t="str">
        <f>IF(C890=Summary!$P$26,VLOOKUP(Summary!M897,Summary!$Q$26:$R$27,2),IF('Run Data'!C890=Summary!$P$28,VLOOKUP(Summary!M897,Summary!$Q$28:$R$29,2),VLOOKUP(Summary!M897,Summary!$Q$30:$R$32,2)))</f>
        <v>Sprig 2</v>
      </c>
      <c r="E890" t="str">
        <f>VLOOKUP(Summary!M900,Summary!$P$42:$Q$43,2)</f>
        <v>86</v>
      </c>
      <c r="F890">
        <f>IF(LEFT(A890,3)="B60",20,IF(LEFT(A890,3)="B12",30,25))+B890*0.5+INT(Summary!M903*20)</f>
        <v>721</v>
      </c>
      <c r="G890">
        <f>ROUND(IF(OR(ISERROR(FIND(Summary!$P$89,CONCATENATE(C890,D890,E890))),ISERROR(FIND(Summary!$Q$89,A890))),Summary!$R$45,IF(H890&gt;Summary!$V$3,Summary!$R$46,Summary!$R$45))*(B890+30),0)</f>
        <v>14</v>
      </c>
      <c r="H890">
        <f>IF(H889&gt;Summary!$V$4,0,H889+F889)</f>
        <v>139073</v>
      </c>
      <c r="I890" s="26">
        <f>DATE(YEAR(Summary!$V$2),MONTH(Summary!$V$2),DAY(Summary!$V$2)+INT(H890/480))</f>
        <v>43879</v>
      </c>
      <c r="J890" s="27">
        <f t="shared" si="14"/>
        <v>0.57847222222222217</v>
      </c>
    </row>
    <row r="891" spans="1:10">
      <c r="A891" t="str">
        <f>VLOOKUP(Summary!M890,Summary!$P$13:$Q$24,2)</f>
        <v>B1700-lime</v>
      </c>
      <c r="B891">
        <f>ROUND(NORMINV(Summary!M892,VLOOKUP(A891,Summary!$Q$13:$S$24,3,FALSE),VLOOKUP(A891,Summary!$Q$13:$S$24,3,FALSE)/6),-1)</f>
        <v>450</v>
      </c>
      <c r="C891" t="str">
        <f>IF(AND(H891=0,C890=Summary!$P$2),Summary!$Q$2,IF(AND(H891=0,C890=Summary!$Q$2),Summary!$R$2,C890))</f>
        <v>Reed</v>
      </c>
      <c r="D891" t="str">
        <f>IF(C891=Summary!$P$26,VLOOKUP(Summary!M898,Summary!$Q$26:$R$27,2),IF('Run Data'!C891=Summary!$P$28,VLOOKUP(Summary!M898,Summary!$Q$28:$R$29,2),VLOOKUP(Summary!M898,Summary!$Q$30:$R$32,2)))</f>
        <v>Sprig 2</v>
      </c>
      <c r="E891" t="str">
        <f>VLOOKUP(Summary!M901,Summary!$P$42:$Q$43,2)</f>
        <v>86</v>
      </c>
      <c r="F891">
        <f>IF(LEFT(A891,3)="B60",20,IF(LEFT(A891,3)="B12",30,25))+B891*0.5+INT(Summary!M904*20)</f>
        <v>258</v>
      </c>
      <c r="G891">
        <f>ROUND(IF(OR(ISERROR(FIND(Summary!$P$89,CONCATENATE(C891,D891,E891))),ISERROR(FIND(Summary!$Q$89,A891))),Summary!$R$45,IF(H891&gt;Summary!$V$3,Summary!$R$46,Summary!$R$45))*(B891+30),0)</f>
        <v>58</v>
      </c>
      <c r="H891">
        <f>IF(H890&gt;Summary!$V$4,0,H890+F890)</f>
        <v>139794</v>
      </c>
      <c r="I891" s="26">
        <f>DATE(YEAR(Summary!$V$2),MONTH(Summary!$V$2),DAY(Summary!$V$2)+INT(H891/480))</f>
        <v>43881</v>
      </c>
      <c r="J891" s="27">
        <f t="shared" si="14"/>
        <v>0.41250000000000003</v>
      </c>
    </row>
    <row r="892" spans="1:10">
      <c r="A892" t="str">
        <f>VLOOKUP(Summary!M891,Summary!$P$13:$Q$24,2)</f>
        <v>B1700-sky</v>
      </c>
      <c r="B892">
        <f>ROUND(NORMINV(Summary!M893,VLOOKUP(A892,Summary!$Q$13:$S$24,3,FALSE),VLOOKUP(A892,Summary!$Q$13:$S$24,3,FALSE)/6),-1)</f>
        <v>320</v>
      </c>
      <c r="C892" t="str">
        <f>IF(AND(H892=0,C891=Summary!$P$2),Summary!$Q$2,IF(AND(H892=0,C891=Summary!$Q$2),Summary!$R$2,C891))</f>
        <v>Reed</v>
      </c>
      <c r="D892" t="str">
        <f>IF(C892=Summary!$P$26,VLOOKUP(Summary!M899,Summary!$Q$26:$R$27,2),IF('Run Data'!C892=Summary!$P$28,VLOOKUP(Summary!M899,Summary!$Q$28:$R$29,2),VLOOKUP(Summary!M899,Summary!$Q$30:$R$32,2)))</f>
        <v>Sprig 2</v>
      </c>
      <c r="E892" t="str">
        <f>VLOOKUP(Summary!M902,Summary!$P$42:$Q$43,2)</f>
        <v>86</v>
      </c>
      <c r="F892">
        <f>IF(LEFT(A892,3)="B60",20,IF(LEFT(A892,3)="B12",30,25))+B892*0.5+INT(Summary!M905*20)</f>
        <v>198</v>
      </c>
      <c r="G892">
        <f>ROUND(IF(OR(ISERROR(FIND(Summary!$P$89,CONCATENATE(C892,D892,E892))),ISERROR(FIND(Summary!$Q$89,A892))),Summary!$R$45,IF(H892&gt;Summary!$V$3,Summary!$R$46,Summary!$R$45))*(B892+30),0)</f>
        <v>42</v>
      </c>
      <c r="H892">
        <f>IF(H891&gt;Summary!$V$4,0,H891+F891)</f>
        <v>140052</v>
      </c>
      <c r="I892" s="26">
        <f>DATE(YEAR(Summary!$V$2),MONTH(Summary!$V$2),DAY(Summary!$V$2)+INT(H892/480))</f>
        <v>43881</v>
      </c>
      <c r="J892" s="27">
        <f t="shared" si="14"/>
        <v>0.59166666666666667</v>
      </c>
    </row>
    <row r="893" spans="1:10">
      <c r="A893" t="str">
        <f>VLOOKUP(Summary!M892,Summary!$P$13:$Q$24,2)</f>
        <v>B1700-sky</v>
      </c>
      <c r="B893">
        <f>ROUND(NORMINV(Summary!M894,VLOOKUP(A893,Summary!$Q$13:$S$24,3,FALSE),VLOOKUP(A893,Summary!$Q$13:$S$24,3,FALSE)/6),-1)</f>
        <v>470</v>
      </c>
      <c r="C893" t="str">
        <f>IF(AND(H893=0,C892=Summary!$P$2),Summary!$Q$2,IF(AND(H893=0,C892=Summary!$Q$2),Summary!$R$2,C892))</f>
        <v>Reed</v>
      </c>
      <c r="D893" t="str">
        <f>IF(C893=Summary!$P$26,VLOOKUP(Summary!M900,Summary!$Q$26:$R$27,2),IF('Run Data'!C893=Summary!$P$28,VLOOKUP(Summary!M900,Summary!$Q$28:$R$29,2),VLOOKUP(Summary!M900,Summary!$Q$30:$R$32,2)))</f>
        <v>Sprig 2</v>
      </c>
      <c r="E893" t="str">
        <f>VLOOKUP(Summary!M903,Summary!$P$42:$Q$43,2)</f>
        <v>86</v>
      </c>
      <c r="F893">
        <f>IF(LEFT(A893,3)="B60",20,IF(LEFT(A893,3)="B12",30,25))+B893*0.5+INT(Summary!M906*20)</f>
        <v>261</v>
      </c>
      <c r="G893">
        <f>ROUND(IF(OR(ISERROR(FIND(Summary!$P$89,CONCATENATE(C893,D893,E893))),ISERROR(FIND(Summary!$Q$89,A893))),Summary!$R$45,IF(H893&gt;Summary!$V$3,Summary!$R$46,Summary!$R$45))*(B893+30),0)</f>
        <v>60</v>
      </c>
      <c r="H893">
        <f>IF(H892&gt;Summary!$V$4,0,H892+F892)</f>
        <v>140250</v>
      </c>
      <c r="I893" s="26">
        <f>DATE(YEAR(Summary!$V$2),MONTH(Summary!$V$2),DAY(Summary!$V$2)+INT(H893/480))</f>
        <v>43882</v>
      </c>
      <c r="J893" s="27">
        <f t="shared" si="14"/>
        <v>0.39583333333333331</v>
      </c>
    </row>
    <row r="894" spans="1:10">
      <c r="A894" t="str">
        <f>VLOOKUP(Summary!M893,Summary!$P$13:$Q$24,2)</f>
        <v>B600-plum</v>
      </c>
      <c r="B894">
        <f>ROUND(NORMINV(Summary!M895,VLOOKUP(A894,Summary!$Q$13:$S$24,3,FALSE),VLOOKUP(A894,Summary!$Q$13:$S$24,3,FALSE)/6),-1)</f>
        <v>170</v>
      </c>
      <c r="C894" t="str">
        <f>IF(AND(H894=0,C893=Summary!$P$2),Summary!$Q$2,IF(AND(H894=0,C893=Summary!$Q$2),Summary!$R$2,C893))</f>
        <v>Reed</v>
      </c>
      <c r="D894" t="str">
        <f>IF(C894=Summary!$P$26,VLOOKUP(Summary!M901,Summary!$Q$26:$R$27,2),IF('Run Data'!C894=Summary!$P$28,VLOOKUP(Summary!M901,Summary!$Q$28:$R$29,2),VLOOKUP(Summary!M901,Summary!$Q$30:$R$32,2)))</f>
        <v>Sprig 2</v>
      </c>
      <c r="E894" t="str">
        <f>VLOOKUP(Summary!M904,Summary!$P$42:$Q$43,2)</f>
        <v>86</v>
      </c>
      <c r="F894">
        <f>IF(LEFT(A894,3)="B60",20,IF(LEFT(A894,3)="B12",30,25))+B894*0.5+INT(Summary!M907*20)</f>
        <v>115</v>
      </c>
      <c r="G894">
        <f>ROUND(IF(OR(ISERROR(FIND(Summary!$P$89,CONCATENATE(C894,D894,E894))),ISERROR(FIND(Summary!$Q$89,A894))),Summary!$R$45,IF(H894&gt;Summary!$V$3,Summary!$R$46,Summary!$R$45))*(B894+30),0)</f>
        <v>2</v>
      </c>
      <c r="H894">
        <f>IF(H893&gt;Summary!$V$4,0,H893+F893)</f>
        <v>140511</v>
      </c>
      <c r="I894" s="26">
        <f>DATE(YEAR(Summary!$V$2),MONTH(Summary!$V$2),DAY(Summary!$V$2)+INT(H894/480))</f>
        <v>43882</v>
      </c>
      <c r="J894" s="27">
        <f t="shared" si="14"/>
        <v>0.57708333333333328</v>
      </c>
    </row>
    <row r="895" spans="1:10">
      <c r="A895" t="str">
        <f>VLOOKUP(Summary!M894,Summary!$P$13:$Q$24,2)</f>
        <v>B600-lime</v>
      </c>
      <c r="B895">
        <f>ROUND(NORMINV(Summary!M896,VLOOKUP(A895,Summary!$Q$13:$S$24,3,FALSE),VLOOKUP(A895,Summary!$Q$13:$S$24,3,FALSE)/6),-1)</f>
        <v>310</v>
      </c>
      <c r="C895" t="str">
        <f>IF(AND(H895=0,C894=Summary!$P$2),Summary!$Q$2,IF(AND(H895=0,C894=Summary!$Q$2),Summary!$R$2,C894))</f>
        <v>Reed</v>
      </c>
      <c r="D895" t="str">
        <f>IF(C895=Summary!$P$26,VLOOKUP(Summary!M902,Summary!$Q$26:$R$27,2),IF('Run Data'!C895=Summary!$P$28,VLOOKUP(Summary!M902,Summary!$Q$28:$R$29,2),VLOOKUP(Summary!M902,Summary!$Q$30:$R$32,2)))</f>
        <v>Sprig 2</v>
      </c>
      <c r="E895" t="str">
        <f>VLOOKUP(Summary!M905,Summary!$P$42:$Q$43,2)</f>
        <v>86</v>
      </c>
      <c r="F895">
        <f>IF(LEFT(A895,3)="B60",20,IF(LEFT(A895,3)="B12",30,25))+B895*0.5+INT(Summary!M908*20)</f>
        <v>189</v>
      </c>
      <c r="G895">
        <f>ROUND(IF(OR(ISERROR(FIND(Summary!$P$89,CONCATENATE(C895,D895,E895))),ISERROR(FIND(Summary!$Q$89,A895))),Summary!$R$45,IF(H895&gt;Summary!$V$3,Summary!$R$46,Summary!$R$45))*(B895+30),0)</f>
        <v>3</v>
      </c>
      <c r="H895">
        <f>IF(H894&gt;Summary!$V$4,0,H894+F894)</f>
        <v>140626</v>
      </c>
      <c r="I895" s="26">
        <f>DATE(YEAR(Summary!$V$2),MONTH(Summary!$V$2),DAY(Summary!$V$2)+INT(H895/480))</f>
        <v>43882</v>
      </c>
      <c r="J895" s="27">
        <f t="shared" si="14"/>
        <v>0.65694444444444444</v>
      </c>
    </row>
    <row r="896" spans="1:10">
      <c r="A896" t="str">
        <f>VLOOKUP(Summary!M895,Summary!$P$13:$Q$24,2)</f>
        <v>B600-lime</v>
      </c>
      <c r="B896">
        <f>ROUND(NORMINV(Summary!M897,VLOOKUP(A896,Summary!$Q$13:$S$24,3,FALSE),VLOOKUP(A896,Summary!$Q$13:$S$24,3,FALSE)/6),-1)</f>
        <v>240</v>
      </c>
      <c r="C896" t="str">
        <f>IF(AND(H896=0,C895=Summary!$P$2),Summary!$Q$2,IF(AND(H896=0,C895=Summary!$Q$2),Summary!$R$2,C895))</f>
        <v>Reed</v>
      </c>
      <c r="D896" t="str">
        <f>IF(C896=Summary!$P$26,VLOOKUP(Summary!M903,Summary!$Q$26:$R$27,2),IF('Run Data'!C896=Summary!$P$28,VLOOKUP(Summary!M903,Summary!$Q$28:$R$29,2),VLOOKUP(Summary!M903,Summary!$Q$30:$R$32,2)))</f>
        <v>Sprig 4</v>
      </c>
      <c r="E896" t="str">
        <f>VLOOKUP(Summary!M906,Summary!$P$42:$Q$43,2)</f>
        <v>86</v>
      </c>
      <c r="F896">
        <f>IF(LEFT(A896,3)="B60",20,IF(LEFT(A896,3)="B12",30,25))+B896*0.5+INT(Summary!M909*20)</f>
        <v>151</v>
      </c>
      <c r="G896">
        <f>ROUND(IF(OR(ISERROR(FIND(Summary!$P$89,CONCATENATE(C896,D896,E896))),ISERROR(FIND(Summary!$Q$89,A896))),Summary!$R$45,IF(H896&gt;Summary!$V$3,Summary!$R$46,Summary!$R$45))*(B896+30),0)</f>
        <v>3</v>
      </c>
      <c r="H896">
        <f>IF(H895&gt;Summary!$V$4,0,H895+F895)</f>
        <v>140815</v>
      </c>
      <c r="I896" s="26">
        <f>DATE(YEAR(Summary!$V$2),MONTH(Summary!$V$2),DAY(Summary!$V$2)+INT(H896/480))</f>
        <v>43883</v>
      </c>
      <c r="J896" s="27">
        <f t="shared" si="14"/>
        <v>0.4548611111111111</v>
      </c>
    </row>
    <row r="897" spans="1:10">
      <c r="A897" t="str">
        <f>VLOOKUP(Summary!M896,Summary!$P$13:$Q$24,2)</f>
        <v>B1200-lime</v>
      </c>
      <c r="B897">
        <f>ROUND(NORMINV(Summary!M898,VLOOKUP(A897,Summary!$Q$13:$S$24,3,FALSE),VLOOKUP(A897,Summary!$Q$13:$S$24,3,FALSE)/6),-1)</f>
        <v>830</v>
      </c>
      <c r="C897" t="str">
        <f>IF(AND(H897=0,C896=Summary!$P$2),Summary!$Q$2,IF(AND(H897=0,C896=Summary!$Q$2),Summary!$R$2,C896))</f>
        <v>Reed</v>
      </c>
      <c r="D897" t="str">
        <f>IF(C897=Summary!$P$26,VLOOKUP(Summary!M904,Summary!$Q$26:$R$27,2),IF('Run Data'!C897=Summary!$P$28,VLOOKUP(Summary!M904,Summary!$Q$28:$R$29,2),VLOOKUP(Summary!M904,Summary!$Q$30:$R$32,2)))</f>
        <v>Sprig 2</v>
      </c>
      <c r="E897" t="str">
        <f>VLOOKUP(Summary!M907,Summary!$P$42:$Q$43,2)</f>
        <v>86</v>
      </c>
      <c r="F897">
        <f>IF(LEFT(A897,3)="B60",20,IF(LEFT(A897,3)="B12",30,25))+B897*0.5+INT(Summary!M910*20)</f>
        <v>448</v>
      </c>
      <c r="G897">
        <f>ROUND(IF(OR(ISERROR(FIND(Summary!$P$89,CONCATENATE(C897,D897,E897))),ISERROR(FIND(Summary!$Q$89,A897))),Summary!$R$45,IF(H897&gt;Summary!$V$3,Summary!$R$46,Summary!$R$45))*(B897+30),0)</f>
        <v>9</v>
      </c>
      <c r="H897">
        <f>IF(H896&gt;Summary!$V$4,0,H896+F896)</f>
        <v>140966</v>
      </c>
      <c r="I897" s="26">
        <f>DATE(YEAR(Summary!$V$2),MONTH(Summary!$V$2),DAY(Summary!$V$2)+INT(H897/480))</f>
        <v>43883</v>
      </c>
      <c r="J897" s="27">
        <f t="shared" si="14"/>
        <v>0.55972222222222223</v>
      </c>
    </row>
    <row r="898" spans="1:10">
      <c r="A898" t="str">
        <f>VLOOKUP(Summary!M897,Summary!$P$13:$Q$24,2)</f>
        <v>B600-fire</v>
      </c>
      <c r="B898">
        <f>ROUND(NORMINV(Summary!M899,VLOOKUP(A898,Summary!$Q$13:$S$24,3,FALSE),VLOOKUP(A898,Summary!$Q$13:$S$24,3,FALSE)/6),-1)</f>
        <v>460</v>
      </c>
      <c r="C898" t="str">
        <f>IF(AND(H898=0,C897=Summary!$P$2),Summary!$Q$2,IF(AND(H898=0,C897=Summary!$Q$2),Summary!$R$2,C897))</f>
        <v>Reed</v>
      </c>
      <c r="D898" t="str">
        <f>IF(C898=Summary!$P$26,VLOOKUP(Summary!M905,Summary!$Q$26:$R$27,2),IF('Run Data'!C898=Summary!$P$28,VLOOKUP(Summary!M905,Summary!$Q$28:$R$29,2),VLOOKUP(Summary!M905,Summary!$Q$30:$R$32,2)))</f>
        <v>Sprig 2</v>
      </c>
      <c r="E898" t="str">
        <f>VLOOKUP(Summary!M908,Summary!$P$42:$Q$43,2)</f>
        <v>86</v>
      </c>
      <c r="F898">
        <f>IF(LEFT(A898,3)="B60",20,IF(LEFT(A898,3)="B12",30,25))+B898*0.5+INT(Summary!M911*20)</f>
        <v>263</v>
      </c>
      <c r="G898">
        <f>ROUND(IF(OR(ISERROR(FIND(Summary!$P$89,CONCATENATE(C898,D898,E898))),ISERROR(FIND(Summary!$Q$89,A898))),Summary!$R$45,IF(H898&gt;Summary!$V$3,Summary!$R$46,Summary!$R$45))*(B898+30),0)</f>
        <v>5</v>
      </c>
      <c r="H898">
        <f>IF(H897&gt;Summary!$V$4,0,H897+F897)</f>
        <v>141414</v>
      </c>
      <c r="I898" s="26">
        <f>DATE(YEAR(Summary!$V$2),MONTH(Summary!$V$2),DAY(Summary!$V$2)+INT(H898/480))</f>
        <v>43884</v>
      </c>
      <c r="J898" s="27">
        <f t="shared" si="14"/>
        <v>0.53749999999999998</v>
      </c>
    </row>
    <row r="899" spans="1:10">
      <c r="A899" t="str">
        <f>VLOOKUP(Summary!M898,Summary!$P$13:$Q$24,2)</f>
        <v>B1200-lime</v>
      </c>
      <c r="B899">
        <f>ROUND(NORMINV(Summary!M900,VLOOKUP(A899,Summary!$Q$13:$S$24,3,FALSE),VLOOKUP(A899,Summary!$Q$13:$S$24,3,FALSE)/6),-1)</f>
        <v>870</v>
      </c>
      <c r="C899" t="str">
        <f>IF(AND(H899=0,C898=Summary!$P$2),Summary!$Q$2,IF(AND(H899=0,C898=Summary!$Q$2),Summary!$R$2,C898))</f>
        <v>Reed</v>
      </c>
      <c r="D899" t="str">
        <f>IF(C899=Summary!$P$26,VLOOKUP(Summary!M906,Summary!$Q$26:$R$27,2),IF('Run Data'!C899=Summary!$P$28,VLOOKUP(Summary!M906,Summary!$Q$28:$R$29,2),VLOOKUP(Summary!M906,Summary!$Q$30:$R$32,2)))</f>
        <v>Sprig 2</v>
      </c>
      <c r="E899" t="str">
        <f>VLOOKUP(Summary!M909,Summary!$P$42:$Q$43,2)</f>
        <v>86</v>
      </c>
      <c r="F899">
        <f>IF(LEFT(A899,3)="B60",20,IF(LEFT(A899,3)="B12",30,25))+B899*0.5+INT(Summary!M912*20)</f>
        <v>479</v>
      </c>
      <c r="G899">
        <f>ROUND(IF(OR(ISERROR(FIND(Summary!$P$89,CONCATENATE(C899,D899,E899))),ISERROR(FIND(Summary!$Q$89,A899))),Summary!$R$45,IF(H899&gt;Summary!$V$3,Summary!$R$46,Summary!$R$45))*(B899+30),0)</f>
        <v>9</v>
      </c>
      <c r="H899">
        <f>IF(H898&gt;Summary!$V$4,0,H898+F898)</f>
        <v>141677</v>
      </c>
      <c r="I899" s="26">
        <f>DATE(YEAR(Summary!$V$2),MONTH(Summary!$V$2),DAY(Summary!$V$2)+INT(H899/480))</f>
        <v>43885</v>
      </c>
      <c r="J899" s="27">
        <f t="shared" si="14"/>
        <v>0.38680555555555557</v>
      </c>
    </row>
    <row r="900" spans="1:10">
      <c r="A900" t="str">
        <f>VLOOKUP(Summary!M899,Summary!$P$13:$Q$24,2)</f>
        <v>B1700-sky</v>
      </c>
      <c r="B900">
        <f>ROUND(NORMINV(Summary!M901,VLOOKUP(A900,Summary!$Q$13:$S$24,3,FALSE),VLOOKUP(A900,Summary!$Q$13:$S$24,3,FALSE)/6),-1)</f>
        <v>520</v>
      </c>
      <c r="C900" t="str">
        <f>IF(AND(H900=0,C899=Summary!$P$2),Summary!$Q$2,IF(AND(H900=0,C899=Summary!$Q$2),Summary!$R$2,C899))</f>
        <v>Reed</v>
      </c>
      <c r="D900" t="str">
        <f>IF(C900=Summary!$P$26,VLOOKUP(Summary!M907,Summary!$Q$26:$R$27,2),IF('Run Data'!C900=Summary!$P$28,VLOOKUP(Summary!M907,Summary!$Q$28:$R$29,2),VLOOKUP(Summary!M907,Summary!$Q$30:$R$32,2)))</f>
        <v>Sprig 2</v>
      </c>
      <c r="E900" t="str">
        <f>VLOOKUP(Summary!M910,Summary!$P$42:$Q$43,2)</f>
        <v>86</v>
      </c>
      <c r="F900">
        <f>IF(LEFT(A900,3)="B60",20,IF(LEFT(A900,3)="B12",30,25))+B900*0.5+INT(Summary!M913*20)</f>
        <v>303</v>
      </c>
      <c r="G900">
        <f>ROUND(IF(OR(ISERROR(FIND(Summary!$P$89,CONCATENATE(C900,D900,E900))),ISERROR(FIND(Summary!$Q$89,A900))),Summary!$R$45,IF(H900&gt;Summary!$V$3,Summary!$R$46,Summary!$R$45))*(B900+30),0)</f>
        <v>66</v>
      </c>
      <c r="H900">
        <f>IF(H899&gt;Summary!$V$4,0,H899+F899)</f>
        <v>142156</v>
      </c>
      <c r="I900" s="26">
        <f>DATE(YEAR(Summary!$V$2),MONTH(Summary!$V$2),DAY(Summary!$V$2)+INT(H900/480))</f>
        <v>43886</v>
      </c>
      <c r="J900" s="27">
        <f t="shared" si="14"/>
        <v>0.38611111111111113</v>
      </c>
    </row>
    <row r="901" spans="1:10">
      <c r="A901" t="str">
        <f>VLOOKUP(Summary!M900,Summary!$P$13:$Q$24,2)</f>
        <v>B1200-lime</v>
      </c>
      <c r="B901">
        <f>ROUND(NORMINV(Summary!M902,VLOOKUP(A901,Summary!$Q$13:$S$24,3,FALSE),VLOOKUP(A901,Summary!$Q$13:$S$24,3,FALSE)/6),-1)</f>
        <v>760</v>
      </c>
      <c r="C901" t="str">
        <f>IF(AND(H901=0,C900=Summary!$P$2),Summary!$Q$2,IF(AND(H901=0,C900=Summary!$Q$2),Summary!$R$2,C900))</f>
        <v>Reed</v>
      </c>
      <c r="D901" t="str">
        <f>IF(C901=Summary!$P$26,VLOOKUP(Summary!M908,Summary!$Q$26:$R$27,2),IF('Run Data'!C901=Summary!$P$28,VLOOKUP(Summary!M908,Summary!$Q$28:$R$29,2),VLOOKUP(Summary!M908,Summary!$Q$30:$R$32,2)))</f>
        <v>Sprig 2</v>
      </c>
      <c r="E901" t="str">
        <f>VLOOKUP(Summary!M911,Summary!$P$42:$Q$43,2)</f>
        <v>86</v>
      </c>
      <c r="F901">
        <f>IF(LEFT(A901,3)="B60",20,IF(LEFT(A901,3)="B12",30,25))+B901*0.5+INT(Summary!M914*20)</f>
        <v>418</v>
      </c>
      <c r="G901">
        <f>ROUND(IF(OR(ISERROR(FIND(Summary!$P$89,CONCATENATE(C901,D901,E901))),ISERROR(FIND(Summary!$Q$89,A901))),Summary!$R$45,IF(H901&gt;Summary!$V$3,Summary!$R$46,Summary!$R$45))*(B901+30),0)</f>
        <v>8</v>
      </c>
      <c r="H901">
        <f>IF(H900&gt;Summary!$V$4,0,H900+F900)</f>
        <v>142459</v>
      </c>
      <c r="I901" s="26">
        <f>DATE(YEAR(Summary!$V$2),MONTH(Summary!$V$2),DAY(Summary!$V$2)+INT(H901/480))</f>
        <v>43886</v>
      </c>
      <c r="J901" s="27">
        <f t="shared" si="14"/>
        <v>0.59652777777777777</v>
      </c>
    </row>
    <row r="902" spans="1:10">
      <c r="A902" t="str">
        <f>VLOOKUP(Summary!M901,Summary!$P$13:$Q$24,2)</f>
        <v>B1200-sky</v>
      </c>
      <c r="B902">
        <f>ROUND(NORMINV(Summary!M903,VLOOKUP(A902,Summary!$Q$13:$S$24,3,FALSE),VLOOKUP(A902,Summary!$Q$13:$S$24,3,FALSE)/6),-1)</f>
        <v>1380</v>
      </c>
      <c r="C902" t="str">
        <f>IF(AND(H902=0,C901=Summary!$P$2),Summary!$Q$2,IF(AND(H902=0,C901=Summary!$Q$2),Summary!$R$2,C901))</f>
        <v>Reed</v>
      </c>
      <c r="D902" t="str">
        <f>IF(C902=Summary!$P$26,VLOOKUP(Summary!M909,Summary!$Q$26:$R$27,2),IF('Run Data'!C902=Summary!$P$28,VLOOKUP(Summary!M909,Summary!$Q$28:$R$29,2),VLOOKUP(Summary!M909,Summary!$Q$30:$R$32,2)))</f>
        <v>Sprig 2</v>
      </c>
      <c r="E902" t="str">
        <f>VLOOKUP(Summary!M912,Summary!$P$42:$Q$43,2)</f>
        <v>86</v>
      </c>
      <c r="F902">
        <f>IF(LEFT(A902,3)="B60",20,IF(LEFT(A902,3)="B12",30,25))+B902*0.5+INT(Summary!M915*20)</f>
        <v>736</v>
      </c>
      <c r="G902">
        <f>ROUND(IF(OR(ISERROR(FIND(Summary!$P$89,CONCATENATE(C902,D902,E902))),ISERROR(FIND(Summary!$Q$89,A902))),Summary!$R$45,IF(H902&gt;Summary!$V$3,Summary!$R$46,Summary!$R$45))*(B902+30),0)</f>
        <v>14</v>
      </c>
      <c r="H902">
        <f>IF(H901&gt;Summary!$V$4,0,H901+F901)</f>
        <v>142877</v>
      </c>
      <c r="I902" s="26">
        <f>DATE(YEAR(Summary!$V$2),MONTH(Summary!$V$2),DAY(Summary!$V$2)+INT(H902/480))</f>
        <v>43887</v>
      </c>
      <c r="J902" s="27">
        <f t="shared" si="14"/>
        <v>0.55347222222222225</v>
      </c>
    </row>
    <row r="903" spans="1:10">
      <c r="A903" t="str">
        <f>VLOOKUP(Summary!M902,Summary!$P$13:$Q$24,2)</f>
        <v>B1200-sky</v>
      </c>
      <c r="B903">
        <f>ROUND(NORMINV(Summary!M904,VLOOKUP(A903,Summary!$Q$13:$S$24,3,FALSE),VLOOKUP(A903,Summary!$Q$13:$S$24,3,FALSE)/6),-1)</f>
        <v>1160</v>
      </c>
      <c r="C903" t="str">
        <f>IF(AND(H903=0,C902=Summary!$P$2),Summary!$Q$2,IF(AND(H903=0,C902=Summary!$Q$2),Summary!$R$2,C902))</f>
        <v>Reed</v>
      </c>
      <c r="D903" t="str">
        <f>IF(C903=Summary!$P$26,VLOOKUP(Summary!M910,Summary!$Q$26:$R$27,2),IF('Run Data'!C903=Summary!$P$28,VLOOKUP(Summary!M910,Summary!$Q$28:$R$29,2),VLOOKUP(Summary!M910,Summary!$Q$30:$R$32,2)))</f>
        <v>Sprig 2</v>
      </c>
      <c r="E903" t="str">
        <f>VLOOKUP(Summary!M913,Summary!$P$42:$Q$43,2)</f>
        <v>87b</v>
      </c>
      <c r="F903">
        <f>IF(LEFT(A903,3)="B60",20,IF(LEFT(A903,3)="B12",30,25))+B903*0.5+INT(Summary!M916*20)</f>
        <v>613</v>
      </c>
      <c r="G903">
        <f>ROUND(IF(OR(ISERROR(FIND(Summary!$P$89,CONCATENATE(C903,D903,E903))),ISERROR(FIND(Summary!$Q$89,A903))),Summary!$R$45,IF(H903&gt;Summary!$V$3,Summary!$R$46,Summary!$R$45))*(B903+30),0)</f>
        <v>12</v>
      </c>
      <c r="H903">
        <f>IF(H902&gt;Summary!$V$4,0,H902+F902)</f>
        <v>143613</v>
      </c>
      <c r="I903" s="26">
        <f>DATE(YEAR(Summary!$V$2),MONTH(Summary!$V$2),DAY(Summary!$V$2)+INT(H903/480))</f>
        <v>43889</v>
      </c>
      <c r="J903" s="27">
        <f t="shared" si="14"/>
        <v>0.3979166666666667</v>
      </c>
    </row>
    <row r="904" spans="1:10">
      <c r="A904" t="str">
        <f>VLOOKUP(Summary!M903,Summary!$P$13:$Q$24,2)</f>
        <v>B1700-sky</v>
      </c>
      <c r="B904">
        <f>ROUND(NORMINV(Summary!M905,VLOOKUP(A904,Summary!$Q$13:$S$24,3,FALSE),VLOOKUP(A904,Summary!$Q$13:$S$24,3,FALSE)/6),-1)</f>
        <v>590</v>
      </c>
      <c r="C904" t="str">
        <f>IF(AND(H904=0,C903=Summary!$P$2),Summary!$Q$2,IF(AND(H904=0,C903=Summary!$Q$2),Summary!$R$2,C903))</f>
        <v>Reed</v>
      </c>
      <c r="D904" t="str">
        <f>IF(C904=Summary!$P$26,VLOOKUP(Summary!M911,Summary!$Q$26:$R$27,2),IF('Run Data'!C904=Summary!$P$28,VLOOKUP(Summary!M911,Summary!$Q$28:$R$29,2),VLOOKUP(Summary!M911,Summary!$Q$30:$R$32,2)))</f>
        <v>Sprig 2</v>
      </c>
      <c r="E904" t="str">
        <f>VLOOKUP(Summary!M914,Summary!$P$42:$Q$43,2)</f>
        <v>86</v>
      </c>
      <c r="F904">
        <f>IF(LEFT(A904,3)="B60",20,IF(LEFT(A904,3)="B12",30,25))+B904*0.5+INT(Summary!M917*20)</f>
        <v>326</v>
      </c>
      <c r="G904">
        <f>ROUND(IF(OR(ISERROR(FIND(Summary!$P$89,CONCATENATE(C904,D904,E904))),ISERROR(FIND(Summary!$Q$89,A904))),Summary!$R$45,IF(H904&gt;Summary!$V$3,Summary!$R$46,Summary!$R$45))*(B904+30),0)</f>
        <v>74</v>
      </c>
      <c r="H904">
        <f>IF(H903&gt;Summary!$V$4,0,H903+F903)</f>
        <v>144226</v>
      </c>
      <c r="I904" s="26">
        <f>DATE(YEAR(Summary!$V$2),MONTH(Summary!$V$2),DAY(Summary!$V$2)+INT(H904/480))</f>
        <v>43890</v>
      </c>
      <c r="J904" s="27">
        <f t="shared" si="14"/>
        <v>0.49027777777777781</v>
      </c>
    </row>
    <row r="905" spans="1:10">
      <c r="A905" t="str">
        <f>VLOOKUP(Summary!M904,Summary!$P$13:$Q$24,2)</f>
        <v>B1200-sky</v>
      </c>
      <c r="B905">
        <f>ROUND(NORMINV(Summary!M906,VLOOKUP(A905,Summary!$Q$13:$S$24,3,FALSE),VLOOKUP(A905,Summary!$Q$13:$S$24,3,FALSE)/6),-1)</f>
        <v>930</v>
      </c>
      <c r="C905" t="str">
        <f>IF(AND(H905=0,C904=Summary!$P$2),Summary!$Q$2,IF(AND(H905=0,C904=Summary!$Q$2),Summary!$R$2,C904))</f>
        <v>Reed</v>
      </c>
      <c r="D905" t="str">
        <f>IF(C905=Summary!$P$26,VLOOKUP(Summary!M912,Summary!$Q$26:$R$27,2),IF('Run Data'!C905=Summary!$P$28,VLOOKUP(Summary!M912,Summary!$Q$28:$R$29,2),VLOOKUP(Summary!M912,Summary!$Q$30:$R$32,2)))</f>
        <v>Sprig 2</v>
      </c>
      <c r="E905" t="str">
        <f>VLOOKUP(Summary!M915,Summary!$P$42:$Q$43,2)</f>
        <v>86</v>
      </c>
      <c r="F905">
        <f>IF(LEFT(A905,3)="B60",20,IF(LEFT(A905,3)="B12",30,25))+B905*0.5+INT(Summary!M918*20)</f>
        <v>497</v>
      </c>
      <c r="G905">
        <f>ROUND(IF(OR(ISERROR(FIND(Summary!$P$89,CONCATENATE(C905,D905,E905))),ISERROR(FIND(Summary!$Q$89,A905))),Summary!$R$45,IF(H905&gt;Summary!$V$3,Summary!$R$46,Summary!$R$45))*(B905+30),0)</f>
        <v>10</v>
      </c>
      <c r="H905">
        <f>IF(H904&gt;Summary!$V$4,0,H904+F904)</f>
        <v>144552</v>
      </c>
      <c r="I905" s="26">
        <f>DATE(YEAR(Summary!$V$2),MONTH(Summary!$V$2),DAY(Summary!$V$2)+INT(H905/480))</f>
        <v>43891</v>
      </c>
      <c r="J905" s="27">
        <f t="shared" si="14"/>
        <v>0.3833333333333333</v>
      </c>
    </row>
    <row r="906" spans="1:10">
      <c r="A906" t="str">
        <f>VLOOKUP(Summary!M905,Summary!$P$13:$Q$24,2)</f>
        <v>B1200-lime</v>
      </c>
      <c r="B906">
        <f>ROUND(NORMINV(Summary!M907,VLOOKUP(A906,Summary!$Q$13:$S$24,3,FALSE),VLOOKUP(A906,Summary!$Q$13:$S$24,3,FALSE)/6),-1)</f>
        <v>810</v>
      </c>
      <c r="C906" t="str">
        <f>IF(AND(H906=0,C905=Summary!$P$2),Summary!$Q$2,IF(AND(H906=0,C905=Summary!$Q$2),Summary!$R$2,C905))</f>
        <v>Reed</v>
      </c>
      <c r="D906" t="str">
        <f>IF(C906=Summary!$P$26,VLOOKUP(Summary!M913,Summary!$Q$26:$R$27,2),IF('Run Data'!C906=Summary!$P$28,VLOOKUP(Summary!M913,Summary!$Q$28:$R$29,2),VLOOKUP(Summary!M913,Summary!$Q$30:$R$32,2)))</f>
        <v>Sprig 4</v>
      </c>
      <c r="E906" t="str">
        <f>VLOOKUP(Summary!M916,Summary!$P$42:$Q$43,2)</f>
        <v>86</v>
      </c>
      <c r="F906">
        <f>IF(LEFT(A906,3)="B60",20,IF(LEFT(A906,3)="B12",30,25))+B906*0.5+INT(Summary!M919*20)</f>
        <v>444</v>
      </c>
      <c r="G906">
        <f>ROUND(IF(OR(ISERROR(FIND(Summary!$P$89,CONCATENATE(C906,D906,E906))),ISERROR(FIND(Summary!$Q$89,A906))),Summary!$R$45,IF(H906&gt;Summary!$V$3,Summary!$R$46,Summary!$R$45))*(B906+30),0)</f>
        <v>8</v>
      </c>
      <c r="H906">
        <f>IF(H905&gt;Summary!$V$4,0,H905+F905)</f>
        <v>145049</v>
      </c>
      <c r="I906" s="26">
        <f>DATE(YEAR(Summary!$V$2),MONTH(Summary!$V$2),DAY(Summary!$V$2)+INT(H906/480))</f>
        <v>43892</v>
      </c>
      <c r="J906" s="27">
        <f t="shared" si="14"/>
        <v>0.39513888888888887</v>
      </c>
    </row>
    <row r="907" spans="1:10">
      <c r="A907" t="str">
        <f>VLOOKUP(Summary!M906,Summary!$P$13:$Q$24,2)</f>
        <v>B600-sky</v>
      </c>
      <c r="B907">
        <f>ROUND(NORMINV(Summary!M908,VLOOKUP(A907,Summary!$Q$13:$S$24,3,FALSE),VLOOKUP(A907,Summary!$Q$13:$S$24,3,FALSE)/6),-1)</f>
        <v>550</v>
      </c>
      <c r="C907" t="str">
        <f>IF(AND(H907=0,C906=Summary!$P$2),Summary!$Q$2,IF(AND(H907=0,C906=Summary!$Q$2),Summary!$R$2,C906))</f>
        <v>Reed</v>
      </c>
      <c r="D907" t="str">
        <f>IF(C907=Summary!$P$26,VLOOKUP(Summary!M914,Summary!$Q$26:$R$27,2),IF('Run Data'!C907=Summary!$P$28,VLOOKUP(Summary!M914,Summary!$Q$28:$R$29,2),VLOOKUP(Summary!M914,Summary!$Q$30:$R$32,2)))</f>
        <v>Sprig 2</v>
      </c>
      <c r="E907" t="str">
        <f>VLOOKUP(Summary!M917,Summary!$P$42:$Q$43,2)</f>
        <v>86</v>
      </c>
      <c r="F907">
        <f>IF(LEFT(A907,3)="B60",20,IF(LEFT(A907,3)="B12",30,25))+B907*0.5+INT(Summary!M920*20)</f>
        <v>299</v>
      </c>
      <c r="G907">
        <f>ROUND(IF(OR(ISERROR(FIND(Summary!$P$89,CONCATENATE(C907,D907,E907))),ISERROR(FIND(Summary!$Q$89,A907))),Summary!$R$45,IF(H907&gt;Summary!$V$3,Summary!$R$46,Summary!$R$45))*(B907+30),0)</f>
        <v>6</v>
      </c>
      <c r="H907">
        <f>IF(H906&gt;Summary!$V$4,0,H906+F906)</f>
        <v>145493</v>
      </c>
      <c r="I907" s="26">
        <f>DATE(YEAR(Summary!$V$2),MONTH(Summary!$V$2),DAY(Summary!$V$2)+INT(H907/480))</f>
        <v>43893</v>
      </c>
      <c r="J907" s="27">
        <f t="shared" si="14"/>
        <v>0.37013888888888885</v>
      </c>
    </row>
    <row r="908" spans="1:10">
      <c r="A908" t="str">
        <f>VLOOKUP(Summary!M907,Summary!$P$13:$Q$24,2)</f>
        <v>B1200-fire</v>
      </c>
      <c r="B908">
        <f>ROUND(NORMINV(Summary!M909,VLOOKUP(A908,Summary!$Q$13:$S$24,3,FALSE),VLOOKUP(A908,Summary!$Q$13:$S$24,3,FALSE)/6),-1)</f>
        <v>1240</v>
      </c>
      <c r="C908" t="str">
        <f>IF(AND(H908=0,C907=Summary!$P$2),Summary!$Q$2,IF(AND(H908=0,C907=Summary!$Q$2),Summary!$R$2,C907))</f>
        <v>Reed</v>
      </c>
      <c r="D908" t="str">
        <f>IF(C908=Summary!$P$26,VLOOKUP(Summary!M915,Summary!$Q$26:$R$27,2),IF('Run Data'!C908=Summary!$P$28,VLOOKUP(Summary!M915,Summary!$Q$28:$R$29,2),VLOOKUP(Summary!M915,Summary!$Q$30:$R$32,2)))</f>
        <v>Sprig 4</v>
      </c>
      <c r="E908" t="str">
        <f>VLOOKUP(Summary!M918,Summary!$P$42:$Q$43,2)</f>
        <v>86</v>
      </c>
      <c r="F908">
        <f>IF(LEFT(A908,3)="B60",20,IF(LEFT(A908,3)="B12",30,25))+B908*0.5+INT(Summary!M921*20)</f>
        <v>658</v>
      </c>
      <c r="G908">
        <f>ROUND(IF(OR(ISERROR(FIND(Summary!$P$89,CONCATENATE(C908,D908,E908))),ISERROR(FIND(Summary!$Q$89,A908))),Summary!$R$45,IF(H908&gt;Summary!$V$3,Summary!$R$46,Summary!$R$45))*(B908+30),0)</f>
        <v>13</v>
      </c>
      <c r="H908">
        <f>IF(H907&gt;Summary!$V$4,0,H907+F907)</f>
        <v>145792</v>
      </c>
      <c r="I908" s="26">
        <f>DATE(YEAR(Summary!$V$2),MONTH(Summary!$V$2),DAY(Summary!$V$2)+INT(H908/480))</f>
        <v>43893</v>
      </c>
      <c r="J908" s="27">
        <f t="shared" si="14"/>
        <v>0.57777777777777783</v>
      </c>
    </row>
    <row r="909" spans="1:10">
      <c r="A909" t="str">
        <f>VLOOKUP(Summary!M908,Summary!$P$13:$Q$24,2)</f>
        <v>B1700-plum</v>
      </c>
      <c r="B909">
        <f>ROUND(NORMINV(Summary!M910,VLOOKUP(A909,Summary!$Q$13:$S$24,3,FALSE),VLOOKUP(A909,Summary!$Q$13:$S$24,3,FALSE)/6),-1)</f>
        <v>250</v>
      </c>
      <c r="C909" t="str">
        <f>IF(AND(H909=0,C908=Summary!$P$2),Summary!$Q$2,IF(AND(H909=0,C908=Summary!$Q$2),Summary!$R$2,C908))</f>
        <v>Reed</v>
      </c>
      <c r="D909" t="str">
        <f>IF(C909=Summary!$P$26,VLOOKUP(Summary!M916,Summary!$Q$26:$R$27,2),IF('Run Data'!C909=Summary!$P$28,VLOOKUP(Summary!M916,Summary!$Q$28:$R$29,2),VLOOKUP(Summary!M916,Summary!$Q$30:$R$32,2)))</f>
        <v>Sprig 2</v>
      </c>
      <c r="E909" t="str">
        <f>VLOOKUP(Summary!M919,Summary!$P$42:$Q$43,2)</f>
        <v>86</v>
      </c>
      <c r="F909">
        <f>IF(LEFT(A909,3)="B60",20,IF(LEFT(A909,3)="B12",30,25))+B909*0.5+INT(Summary!M922*20)</f>
        <v>167</v>
      </c>
      <c r="G909">
        <f>ROUND(IF(OR(ISERROR(FIND(Summary!$P$89,CONCATENATE(C909,D909,E909))),ISERROR(FIND(Summary!$Q$89,A909))),Summary!$R$45,IF(H909&gt;Summary!$V$3,Summary!$R$46,Summary!$R$45))*(B909+30),0)</f>
        <v>34</v>
      </c>
      <c r="H909">
        <f>IF(H908&gt;Summary!$V$4,0,H908+F908)</f>
        <v>146450</v>
      </c>
      <c r="I909" s="26">
        <f>DATE(YEAR(Summary!$V$2),MONTH(Summary!$V$2),DAY(Summary!$V$2)+INT(H909/480))</f>
        <v>43895</v>
      </c>
      <c r="J909" s="27">
        <f t="shared" si="14"/>
        <v>0.36805555555555558</v>
      </c>
    </row>
    <row r="910" spans="1:10">
      <c r="A910" t="str">
        <f>VLOOKUP(Summary!M909,Summary!$P$13:$Q$24,2)</f>
        <v>B1200-lime</v>
      </c>
      <c r="B910">
        <f>ROUND(NORMINV(Summary!M911,VLOOKUP(A910,Summary!$Q$13:$S$24,3,FALSE),VLOOKUP(A910,Summary!$Q$13:$S$24,3,FALSE)/6),-1)</f>
        <v>860</v>
      </c>
      <c r="C910" t="str">
        <f>IF(AND(H910=0,C909=Summary!$P$2),Summary!$Q$2,IF(AND(H910=0,C909=Summary!$Q$2),Summary!$R$2,C909))</f>
        <v>Reed</v>
      </c>
      <c r="D910" t="str">
        <f>IF(C910=Summary!$P$26,VLOOKUP(Summary!M917,Summary!$Q$26:$R$27,2),IF('Run Data'!C910=Summary!$P$28,VLOOKUP(Summary!M917,Summary!$Q$28:$R$29,2),VLOOKUP(Summary!M917,Summary!$Q$30:$R$32,2)))</f>
        <v>Sprig 2</v>
      </c>
      <c r="E910" t="str">
        <f>VLOOKUP(Summary!M920,Summary!$P$42:$Q$43,2)</f>
        <v>86</v>
      </c>
      <c r="F910">
        <f>IF(LEFT(A910,3)="B60",20,IF(LEFT(A910,3)="B12",30,25))+B910*0.5+INT(Summary!M923*20)</f>
        <v>478</v>
      </c>
      <c r="G910">
        <f>ROUND(IF(OR(ISERROR(FIND(Summary!$P$89,CONCATENATE(C910,D910,E910))),ISERROR(FIND(Summary!$Q$89,A910))),Summary!$R$45,IF(H910&gt;Summary!$V$3,Summary!$R$46,Summary!$R$45))*(B910+30),0)</f>
        <v>9</v>
      </c>
      <c r="H910">
        <f>IF(H909&gt;Summary!$V$4,0,H909+F909)</f>
        <v>146617</v>
      </c>
      <c r="I910" s="26">
        <f>DATE(YEAR(Summary!$V$2),MONTH(Summary!$V$2),DAY(Summary!$V$2)+INT(H910/480))</f>
        <v>43895</v>
      </c>
      <c r="J910" s="27">
        <f t="shared" si="14"/>
        <v>0.48402777777777778</v>
      </c>
    </row>
    <row r="911" spans="1:10">
      <c r="A911" t="str">
        <f>VLOOKUP(Summary!M910,Summary!$P$13:$Q$24,2)</f>
        <v>B600-fire</v>
      </c>
      <c r="B911">
        <f>ROUND(NORMINV(Summary!M912,VLOOKUP(A911,Summary!$Q$13:$S$24,3,FALSE),VLOOKUP(A911,Summary!$Q$13:$S$24,3,FALSE)/6),-1)</f>
        <v>440</v>
      </c>
      <c r="C911" t="str">
        <f>IF(AND(H911=0,C910=Summary!$P$2),Summary!$Q$2,IF(AND(H911=0,C910=Summary!$Q$2),Summary!$R$2,C910))</f>
        <v>Reed</v>
      </c>
      <c r="D911" t="str">
        <f>IF(C911=Summary!$P$26,VLOOKUP(Summary!M918,Summary!$Q$26:$R$27,2),IF('Run Data'!C911=Summary!$P$28,VLOOKUP(Summary!M918,Summary!$Q$28:$R$29,2),VLOOKUP(Summary!M918,Summary!$Q$30:$R$32,2)))</f>
        <v>Sprig 2</v>
      </c>
      <c r="E911" t="str">
        <f>VLOOKUP(Summary!M921,Summary!$P$42:$Q$43,2)</f>
        <v>86</v>
      </c>
      <c r="F911">
        <f>IF(LEFT(A911,3)="B60",20,IF(LEFT(A911,3)="B12",30,25))+B911*0.5+INT(Summary!M924*20)</f>
        <v>254</v>
      </c>
      <c r="G911">
        <f>ROUND(IF(OR(ISERROR(FIND(Summary!$P$89,CONCATENATE(C911,D911,E911))),ISERROR(FIND(Summary!$Q$89,A911))),Summary!$R$45,IF(H911&gt;Summary!$V$3,Summary!$R$46,Summary!$R$45))*(B911+30),0)</f>
        <v>5</v>
      </c>
      <c r="H911">
        <f>IF(H910&gt;Summary!$V$4,0,H910+F910)</f>
        <v>147095</v>
      </c>
      <c r="I911" s="26">
        <f>DATE(YEAR(Summary!$V$2),MONTH(Summary!$V$2),DAY(Summary!$V$2)+INT(H911/480))</f>
        <v>43896</v>
      </c>
      <c r="J911" s="27">
        <f t="shared" si="14"/>
        <v>0.4826388888888889</v>
      </c>
    </row>
    <row r="912" spans="1:10">
      <c r="A912" t="str">
        <f>VLOOKUP(Summary!M911,Summary!$P$13:$Q$24,2)</f>
        <v>B1200-lime</v>
      </c>
      <c r="B912">
        <f>ROUND(NORMINV(Summary!M913,VLOOKUP(A912,Summary!$Q$13:$S$24,3,FALSE),VLOOKUP(A912,Summary!$Q$13:$S$24,3,FALSE)/6),-1)</f>
        <v>980</v>
      </c>
      <c r="C912" t="str">
        <f>IF(AND(H912=0,C911=Summary!$P$2),Summary!$Q$2,IF(AND(H912=0,C911=Summary!$Q$2),Summary!$R$2,C911))</f>
        <v>Reed</v>
      </c>
      <c r="D912" t="str">
        <f>IF(C912=Summary!$P$26,VLOOKUP(Summary!M919,Summary!$Q$26:$R$27,2),IF('Run Data'!C912=Summary!$P$28,VLOOKUP(Summary!M919,Summary!$Q$28:$R$29,2),VLOOKUP(Summary!M919,Summary!$Q$30:$R$32,2)))</f>
        <v>Sprig 2</v>
      </c>
      <c r="E912" t="str">
        <f>VLOOKUP(Summary!M922,Summary!$P$42:$Q$43,2)</f>
        <v>87b</v>
      </c>
      <c r="F912">
        <f>IF(LEFT(A912,3)="B60",20,IF(LEFT(A912,3)="B12",30,25))+B912*0.5+INT(Summary!M925*20)</f>
        <v>521</v>
      </c>
      <c r="G912">
        <f>ROUND(IF(OR(ISERROR(FIND(Summary!$P$89,CONCATENATE(C912,D912,E912))),ISERROR(FIND(Summary!$Q$89,A912))),Summary!$R$45,IF(H912&gt;Summary!$V$3,Summary!$R$46,Summary!$R$45))*(B912+30),0)</f>
        <v>10</v>
      </c>
      <c r="H912">
        <f>IF(H911&gt;Summary!$V$4,0,H911+F911)</f>
        <v>147349</v>
      </c>
      <c r="I912" s="26">
        <f>DATE(YEAR(Summary!$V$2),MONTH(Summary!$V$2),DAY(Summary!$V$2)+INT(H912/480))</f>
        <v>43896</v>
      </c>
      <c r="J912" s="27">
        <f t="shared" si="14"/>
        <v>0.65902777777777777</v>
      </c>
    </row>
    <row r="913" spans="1:10">
      <c r="A913" t="str">
        <f>VLOOKUP(Summary!M912,Summary!$P$13:$Q$24,2)</f>
        <v>B1700-plum</v>
      </c>
      <c r="B913">
        <f>ROUND(NORMINV(Summary!M914,VLOOKUP(A913,Summary!$Q$13:$S$24,3,FALSE),VLOOKUP(A913,Summary!$Q$13:$S$24,3,FALSE)/6),-1)</f>
        <v>290</v>
      </c>
      <c r="C913" t="str">
        <f>IF(AND(H913=0,C912=Summary!$P$2),Summary!$Q$2,IF(AND(H913=0,C912=Summary!$Q$2),Summary!$R$2,C912))</f>
        <v>Reed</v>
      </c>
      <c r="D913" t="str">
        <f>IF(C913=Summary!$P$26,VLOOKUP(Summary!M920,Summary!$Q$26:$R$27,2),IF('Run Data'!C913=Summary!$P$28,VLOOKUP(Summary!M920,Summary!$Q$28:$R$29,2),VLOOKUP(Summary!M920,Summary!$Q$30:$R$32,2)))</f>
        <v>Sprig 2</v>
      </c>
      <c r="E913" t="str">
        <f>VLOOKUP(Summary!M923,Summary!$P$42:$Q$43,2)</f>
        <v>87b</v>
      </c>
      <c r="F913">
        <f>IF(LEFT(A913,3)="B60",20,IF(LEFT(A913,3)="B12",30,25))+B913*0.5+INT(Summary!M926*20)</f>
        <v>173</v>
      </c>
      <c r="G913">
        <f>ROUND(IF(OR(ISERROR(FIND(Summary!$P$89,CONCATENATE(C913,D913,E913))),ISERROR(FIND(Summary!$Q$89,A913))),Summary!$R$45,IF(H913&gt;Summary!$V$3,Summary!$R$46,Summary!$R$45))*(B913+30),0)</f>
        <v>3</v>
      </c>
      <c r="H913">
        <f>IF(H912&gt;Summary!$V$4,0,H912+F912)</f>
        <v>147870</v>
      </c>
      <c r="I913" s="26">
        <f>DATE(YEAR(Summary!$V$2),MONTH(Summary!$V$2),DAY(Summary!$V$2)+INT(H913/480))</f>
        <v>43898</v>
      </c>
      <c r="J913" s="27">
        <f t="shared" ref="J913:J976" si="15">TIME(INT(MOD(H913,480)/60)+8,MOD(MOD(H913,480),60),0)</f>
        <v>0.35416666666666669</v>
      </c>
    </row>
    <row r="914" spans="1:10">
      <c r="A914" t="str">
        <f>VLOOKUP(Summary!M913,Summary!$P$13:$Q$24,2)</f>
        <v>B1700-fire</v>
      </c>
      <c r="B914">
        <f>ROUND(NORMINV(Summary!M915,VLOOKUP(A914,Summary!$Q$13:$S$24,3,FALSE),VLOOKUP(A914,Summary!$Q$13:$S$24,3,FALSE)/6),-1)</f>
        <v>870</v>
      </c>
      <c r="C914" t="str">
        <f>IF(AND(H914=0,C913=Summary!$P$2),Summary!$Q$2,IF(AND(H914=0,C913=Summary!$Q$2),Summary!$R$2,C913))</f>
        <v>Reed</v>
      </c>
      <c r="D914" t="str">
        <f>IF(C914=Summary!$P$26,VLOOKUP(Summary!M921,Summary!$Q$26:$R$27,2),IF('Run Data'!C914=Summary!$P$28,VLOOKUP(Summary!M921,Summary!$Q$28:$R$29,2),VLOOKUP(Summary!M921,Summary!$Q$30:$R$32,2)))</f>
        <v>Sprig 2</v>
      </c>
      <c r="E914" t="str">
        <f>VLOOKUP(Summary!M924,Summary!$P$42:$Q$43,2)</f>
        <v>86</v>
      </c>
      <c r="F914">
        <f>IF(LEFT(A914,3)="B60",20,IF(LEFT(A914,3)="B12",30,25))+B914*0.5+INT(Summary!M927*20)</f>
        <v>478</v>
      </c>
      <c r="G914">
        <f>ROUND(IF(OR(ISERROR(FIND(Summary!$P$89,CONCATENATE(C914,D914,E914))),ISERROR(FIND(Summary!$Q$89,A914))),Summary!$R$45,IF(H914&gt;Summary!$V$3,Summary!$R$46,Summary!$R$45))*(B914+30),0)</f>
        <v>108</v>
      </c>
      <c r="H914">
        <f>IF(H913&gt;Summary!$V$4,0,H913+F913)</f>
        <v>148043</v>
      </c>
      <c r="I914" s="26">
        <f>DATE(YEAR(Summary!$V$2),MONTH(Summary!$V$2),DAY(Summary!$V$2)+INT(H914/480))</f>
        <v>43898</v>
      </c>
      <c r="J914" s="27">
        <f t="shared" si="15"/>
        <v>0.47430555555555554</v>
      </c>
    </row>
    <row r="915" spans="1:10">
      <c r="A915" t="str">
        <f>VLOOKUP(Summary!M914,Summary!$P$13:$Q$24,2)</f>
        <v>B1200-sky</v>
      </c>
      <c r="B915">
        <f>ROUND(NORMINV(Summary!M916,VLOOKUP(A915,Summary!$Q$13:$S$24,3,FALSE),VLOOKUP(A915,Summary!$Q$13:$S$24,3,FALSE)/6),-1)</f>
        <v>1020</v>
      </c>
      <c r="C915" t="str">
        <f>IF(AND(H915=0,C914=Summary!$P$2),Summary!$Q$2,IF(AND(H915=0,C914=Summary!$Q$2),Summary!$R$2,C914))</f>
        <v>Reed</v>
      </c>
      <c r="D915" t="str">
        <f>IF(C915=Summary!$P$26,VLOOKUP(Summary!M922,Summary!$Q$26:$R$27,2),IF('Run Data'!C915=Summary!$P$28,VLOOKUP(Summary!M922,Summary!$Q$28:$R$29,2),VLOOKUP(Summary!M922,Summary!$Q$30:$R$32,2)))</f>
        <v>Sprig 4</v>
      </c>
      <c r="E915" t="str">
        <f>VLOOKUP(Summary!M925,Summary!$P$42:$Q$43,2)</f>
        <v>86</v>
      </c>
      <c r="F915">
        <f>IF(LEFT(A915,3)="B60",20,IF(LEFT(A915,3)="B12",30,25))+B915*0.5+INT(Summary!M928*20)</f>
        <v>542</v>
      </c>
      <c r="G915">
        <f>ROUND(IF(OR(ISERROR(FIND(Summary!$P$89,CONCATENATE(C915,D915,E915))),ISERROR(FIND(Summary!$Q$89,A915))),Summary!$R$45,IF(H915&gt;Summary!$V$3,Summary!$R$46,Summary!$R$45))*(B915+30),0)</f>
        <v>11</v>
      </c>
      <c r="H915">
        <f>IF(H914&gt;Summary!$V$4,0,H914+F914)</f>
        <v>148521</v>
      </c>
      <c r="I915" s="26">
        <f>DATE(YEAR(Summary!$V$2),MONTH(Summary!$V$2),DAY(Summary!$V$2)+INT(H915/480))</f>
        <v>43899</v>
      </c>
      <c r="J915" s="27">
        <f t="shared" si="15"/>
        <v>0.47291666666666665</v>
      </c>
    </row>
    <row r="916" spans="1:10">
      <c r="A916" t="str">
        <f>VLOOKUP(Summary!M915,Summary!$P$13:$Q$24,2)</f>
        <v>B1700-sky</v>
      </c>
      <c r="B916">
        <f>ROUND(NORMINV(Summary!M917,VLOOKUP(A916,Summary!$Q$13:$S$24,3,FALSE),VLOOKUP(A916,Summary!$Q$13:$S$24,3,FALSE)/6),-1)</f>
        <v>510</v>
      </c>
      <c r="C916" t="str">
        <f>IF(AND(H916=0,C915=Summary!$P$2),Summary!$Q$2,IF(AND(H916=0,C915=Summary!$Q$2),Summary!$R$2,C915))</f>
        <v>Reed</v>
      </c>
      <c r="D916" t="str">
        <f>IF(C916=Summary!$P$26,VLOOKUP(Summary!M923,Summary!$Q$26:$R$27,2),IF('Run Data'!C916=Summary!$P$28,VLOOKUP(Summary!M923,Summary!$Q$28:$R$29,2),VLOOKUP(Summary!M923,Summary!$Q$30:$R$32,2)))</f>
        <v>Sprig 4</v>
      </c>
      <c r="E916" t="str">
        <f>VLOOKUP(Summary!M926,Summary!$P$42:$Q$43,2)</f>
        <v>86</v>
      </c>
      <c r="F916">
        <f>IF(LEFT(A916,3)="B60",20,IF(LEFT(A916,3)="B12",30,25))+B916*0.5+INT(Summary!M929*20)</f>
        <v>289</v>
      </c>
      <c r="G916">
        <f>ROUND(IF(OR(ISERROR(FIND(Summary!$P$89,CONCATENATE(C916,D916,E916))),ISERROR(FIND(Summary!$Q$89,A916))),Summary!$R$45,IF(H916&gt;Summary!$V$3,Summary!$R$46,Summary!$R$45))*(B916+30),0)</f>
        <v>65</v>
      </c>
      <c r="H916">
        <f>IF(H915&gt;Summary!$V$4,0,H915+F915)</f>
        <v>149063</v>
      </c>
      <c r="I916" s="26">
        <f>DATE(YEAR(Summary!$V$2),MONTH(Summary!$V$2),DAY(Summary!$V$2)+INT(H916/480))</f>
        <v>43900</v>
      </c>
      <c r="J916" s="27">
        <f t="shared" si="15"/>
        <v>0.51597222222222217</v>
      </c>
    </row>
    <row r="917" spans="1:10">
      <c r="A917" t="str">
        <f>VLOOKUP(Summary!M916,Summary!$P$13:$Q$24,2)</f>
        <v>B600-lime</v>
      </c>
      <c r="B917">
        <f>ROUND(NORMINV(Summary!M918,VLOOKUP(A917,Summary!$Q$13:$S$24,3,FALSE),VLOOKUP(A917,Summary!$Q$13:$S$24,3,FALSE)/6),-1)</f>
        <v>240</v>
      </c>
      <c r="C917" t="str">
        <f>IF(AND(H917=0,C916=Summary!$P$2),Summary!$Q$2,IF(AND(H917=0,C916=Summary!$Q$2),Summary!$R$2,C916))</f>
        <v>Reed</v>
      </c>
      <c r="D917" t="str">
        <f>IF(C917=Summary!$P$26,VLOOKUP(Summary!M924,Summary!$Q$26:$R$27,2),IF('Run Data'!C917=Summary!$P$28,VLOOKUP(Summary!M924,Summary!$Q$28:$R$29,2),VLOOKUP(Summary!M924,Summary!$Q$30:$R$32,2)))</f>
        <v>Sprig 2</v>
      </c>
      <c r="E917" t="str">
        <f>VLOOKUP(Summary!M927,Summary!$P$42:$Q$43,2)</f>
        <v>87b</v>
      </c>
      <c r="F917">
        <f>IF(LEFT(A917,3)="B60",20,IF(LEFT(A917,3)="B12",30,25))+B917*0.5+INT(Summary!M930*20)</f>
        <v>154</v>
      </c>
      <c r="G917">
        <f>ROUND(IF(OR(ISERROR(FIND(Summary!$P$89,CONCATENATE(C917,D917,E917))),ISERROR(FIND(Summary!$Q$89,A917))),Summary!$R$45,IF(H917&gt;Summary!$V$3,Summary!$R$46,Summary!$R$45))*(B917+30),0)</f>
        <v>3</v>
      </c>
      <c r="H917">
        <f>IF(H916&gt;Summary!$V$4,0,H916+F916)</f>
        <v>149352</v>
      </c>
      <c r="I917" s="26">
        <f>DATE(YEAR(Summary!$V$2),MONTH(Summary!$V$2),DAY(Summary!$V$2)+INT(H917/480))</f>
        <v>43901</v>
      </c>
      <c r="J917" s="27">
        <f t="shared" si="15"/>
        <v>0.3833333333333333</v>
      </c>
    </row>
    <row r="918" spans="1:10">
      <c r="A918" t="str">
        <f>VLOOKUP(Summary!M917,Summary!$P$13:$Q$24,2)</f>
        <v>B1200-plum</v>
      </c>
      <c r="B918">
        <f>ROUND(NORMINV(Summary!M919,VLOOKUP(A918,Summary!$Q$13:$S$24,3,FALSE),VLOOKUP(A918,Summary!$Q$13:$S$24,3,FALSE)/6),-1)</f>
        <v>440</v>
      </c>
      <c r="C918" t="str">
        <f>IF(AND(H918=0,C917=Summary!$P$2),Summary!$Q$2,IF(AND(H918=0,C917=Summary!$Q$2),Summary!$R$2,C917))</f>
        <v>Reed</v>
      </c>
      <c r="D918" t="str">
        <f>IF(C918=Summary!$P$26,VLOOKUP(Summary!M925,Summary!$Q$26:$R$27,2),IF('Run Data'!C918=Summary!$P$28,VLOOKUP(Summary!M925,Summary!$Q$28:$R$29,2),VLOOKUP(Summary!M925,Summary!$Q$30:$R$32,2)))</f>
        <v>Sprig 2</v>
      </c>
      <c r="E918" t="str">
        <f>VLOOKUP(Summary!M928,Summary!$P$42:$Q$43,2)</f>
        <v>86</v>
      </c>
      <c r="F918">
        <f>IF(LEFT(A918,3)="B60",20,IF(LEFT(A918,3)="B12",30,25))+B918*0.5+INT(Summary!M931*20)</f>
        <v>254</v>
      </c>
      <c r="G918">
        <f>ROUND(IF(OR(ISERROR(FIND(Summary!$P$89,CONCATENATE(C918,D918,E918))),ISERROR(FIND(Summary!$Q$89,A918))),Summary!$R$45,IF(H918&gt;Summary!$V$3,Summary!$R$46,Summary!$R$45))*(B918+30),0)</f>
        <v>5</v>
      </c>
      <c r="H918">
        <f>IF(H917&gt;Summary!$V$4,0,H917+F917)</f>
        <v>149506</v>
      </c>
      <c r="I918" s="26">
        <f>DATE(YEAR(Summary!$V$2),MONTH(Summary!$V$2),DAY(Summary!$V$2)+INT(H918/480))</f>
        <v>43901</v>
      </c>
      <c r="J918" s="27">
        <f t="shared" si="15"/>
        <v>0.49027777777777781</v>
      </c>
    </row>
    <row r="919" spans="1:10">
      <c r="A919" t="str">
        <f>VLOOKUP(Summary!M918,Summary!$P$13:$Q$24,2)</f>
        <v>B600-fire</v>
      </c>
      <c r="B919">
        <f>ROUND(NORMINV(Summary!M920,VLOOKUP(A919,Summary!$Q$13:$S$24,3,FALSE),VLOOKUP(A919,Summary!$Q$13:$S$24,3,FALSE)/6),-1)</f>
        <v>350</v>
      </c>
      <c r="C919" t="str">
        <f>IF(AND(H919=0,C918=Summary!$P$2),Summary!$Q$2,IF(AND(H919=0,C918=Summary!$Q$2),Summary!$R$2,C918))</f>
        <v>Reed</v>
      </c>
      <c r="D919" t="str">
        <f>IF(C919=Summary!$P$26,VLOOKUP(Summary!M926,Summary!$Q$26:$R$27,2),IF('Run Data'!C919=Summary!$P$28,VLOOKUP(Summary!M926,Summary!$Q$28:$R$29,2),VLOOKUP(Summary!M926,Summary!$Q$30:$R$32,2)))</f>
        <v>Sprig 2</v>
      </c>
      <c r="E919" t="str">
        <f>VLOOKUP(Summary!M929,Summary!$P$42:$Q$43,2)</f>
        <v>86</v>
      </c>
      <c r="F919">
        <f>IF(LEFT(A919,3)="B60",20,IF(LEFT(A919,3)="B12",30,25))+B919*0.5+INT(Summary!M932*20)</f>
        <v>203</v>
      </c>
      <c r="G919">
        <f>ROUND(IF(OR(ISERROR(FIND(Summary!$P$89,CONCATENATE(C919,D919,E919))),ISERROR(FIND(Summary!$Q$89,A919))),Summary!$R$45,IF(H919&gt;Summary!$V$3,Summary!$R$46,Summary!$R$45))*(B919+30),0)</f>
        <v>4</v>
      </c>
      <c r="H919">
        <f>IF(H918&gt;Summary!$V$4,0,H918+F918)</f>
        <v>149760</v>
      </c>
      <c r="I919" s="26">
        <f>DATE(YEAR(Summary!$V$2),MONTH(Summary!$V$2),DAY(Summary!$V$2)+INT(H919/480))</f>
        <v>43902</v>
      </c>
      <c r="J919" s="27">
        <f t="shared" si="15"/>
        <v>0.33333333333333331</v>
      </c>
    </row>
    <row r="920" spans="1:10">
      <c r="A920" t="str">
        <f>VLOOKUP(Summary!M919,Summary!$P$13:$Q$24,2)</f>
        <v>B1200-fire</v>
      </c>
      <c r="B920">
        <f>ROUND(NORMINV(Summary!M921,VLOOKUP(A920,Summary!$Q$13:$S$24,3,FALSE),VLOOKUP(A920,Summary!$Q$13:$S$24,3,FALSE)/6),-1)</f>
        <v>1160</v>
      </c>
      <c r="C920" t="str">
        <f>IF(AND(H920=0,C919=Summary!$P$2),Summary!$Q$2,IF(AND(H920=0,C919=Summary!$Q$2),Summary!$R$2,C919))</f>
        <v>Reed</v>
      </c>
      <c r="D920" t="str">
        <f>IF(C920=Summary!$P$26,VLOOKUP(Summary!M927,Summary!$Q$26:$R$27,2),IF('Run Data'!C920=Summary!$P$28,VLOOKUP(Summary!M927,Summary!$Q$28:$R$29,2),VLOOKUP(Summary!M927,Summary!$Q$30:$R$32,2)))</f>
        <v>Sprig 4</v>
      </c>
      <c r="E920" t="str">
        <f>VLOOKUP(Summary!M930,Summary!$P$42:$Q$43,2)</f>
        <v>86</v>
      </c>
      <c r="F920">
        <f>IF(LEFT(A920,3)="B60",20,IF(LEFT(A920,3)="B12",30,25))+B920*0.5+INT(Summary!M933*20)</f>
        <v>621</v>
      </c>
      <c r="G920">
        <f>ROUND(IF(OR(ISERROR(FIND(Summary!$P$89,CONCATENATE(C920,D920,E920))),ISERROR(FIND(Summary!$Q$89,A920))),Summary!$R$45,IF(H920&gt;Summary!$V$3,Summary!$R$46,Summary!$R$45))*(B920+30),0)</f>
        <v>12</v>
      </c>
      <c r="H920">
        <f>IF(H919&gt;Summary!$V$4,0,H919+F919)</f>
        <v>149963</v>
      </c>
      <c r="I920" s="26">
        <f>DATE(YEAR(Summary!$V$2),MONTH(Summary!$V$2),DAY(Summary!$V$2)+INT(H920/480))</f>
        <v>43902</v>
      </c>
      <c r="J920" s="27">
        <f t="shared" si="15"/>
        <v>0.47430555555555554</v>
      </c>
    </row>
    <row r="921" spans="1:10">
      <c r="A921" t="str">
        <f>VLOOKUP(Summary!M920,Summary!$P$13:$Q$24,2)</f>
        <v>B1200-plum</v>
      </c>
      <c r="B921">
        <f>ROUND(NORMINV(Summary!M922,VLOOKUP(A921,Summary!$Q$13:$S$24,3,FALSE),VLOOKUP(A921,Summary!$Q$13:$S$24,3,FALSE)/6),-1)</f>
        <v>530</v>
      </c>
      <c r="C921" t="str">
        <f>IF(AND(H921=0,C920=Summary!$P$2),Summary!$Q$2,IF(AND(H921=0,C920=Summary!$Q$2),Summary!$R$2,C920))</f>
        <v>Reed</v>
      </c>
      <c r="D921" t="str">
        <f>IF(C921=Summary!$P$26,VLOOKUP(Summary!M928,Summary!$Q$26:$R$27,2),IF('Run Data'!C921=Summary!$P$28,VLOOKUP(Summary!M928,Summary!$Q$28:$R$29,2),VLOOKUP(Summary!M928,Summary!$Q$30:$R$32,2)))</f>
        <v>Sprig 2</v>
      </c>
      <c r="E921" t="str">
        <f>VLOOKUP(Summary!M931,Summary!$P$42:$Q$43,2)</f>
        <v>86</v>
      </c>
      <c r="F921">
        <f>IF(LEFT(A921,3)="B60",20,IF(LEFT(A921,3)="B12",30,25))+B921*0.5+INT(Summary!M934*20)</f>
        <v>310</v>
      </c>
      <c r="G921">
        <f>ROUND(IF(OR(ISERROR(FIND(Summary!$P$89,CONCATENATE(C921,D921,E921))),ISERROR(FIND(Summary!$Q$89,A921))),Summary!$R$45,IF(H921&gt;Summary!$V$3,Summary!$R$46,Summary!$R$45))*(B921+30),0)</f>
        <v>6</v>
      </c>
      <c r="H921">
        <f>IF(H920&gt;Summary!$V$4,0,H920+F920)</f>
        <v>150584</v>
      </c>
      <c r="I921" s="26">
        <f>DATE(YEAR(Summary!$V$2),MONTH(Summary!$V$2),DAY(Summary!$V$2)+INT(H921/480))</f>
        <v>43903</v>
      </c>
      <c r="J921" s="27">
        <f t="shared" si="15"/>
        <v>0.57222222222222219</v>
      </c>
    </row>
    <row r="922" spans="1:10">
      <c r="A922" t="str">
        <f>VLOOKUP(Summary!M921,Summary!$P$13:$Q$24,2)</f>
        <v>B1200-sky</v>
      </c>
      <c r="B922">
        <f>ROUND(NORMINV(Summary!M923,VLOOKUP(A922,Summary!$Q$13:$S$24,3,FALSE),VLOOKUP(A922,Summary!$Q$13:$S$24,3,FALSE)/6),-1)</f>
        <v>1470</v>
      </c>
      <c r="C922" t="str">
        <f>IF(AND(H922=0,C921=Summary!$P$2),Summary!$Q$2,IF(AND(H922=0,C921=Summary!$Q$2),Summary!$R$2,C921))</f>
        <v>Reed</v>
      </c>
      <c r="D922" t="str">
        <f>IF(C922=Summary!$P$26,VLOOKUP(Summary!M929,Summary!$Q$26:$R$27,2),IF('Run Data'!C922=Summary!$P$28,VLOOKUP(Summary!M929,Summary!$Q$28:$R$29,2),VLOOKUP(Summary!M929,Summary!$Q$30:$R$32,2)))</f>
        <v>Sprig 2</v>
      </c>
      <c r="E922" t="str">
        <f>VLOOKUP(Summary!M932,Summary!$P$42:$Q$43,2)</f>
        <v>86</v>
      </c>
      <c r="F922">
        <f>IF(LEFT(A922,3)="B60",20,IF(LEFT(A922,3)="B12",30,25))+B922*0.5+INT(Summary!M935*20)</f>
        <v>781</v>
      </c>
      <c r="G922">
        <f>ROUND(IF(OR(ISERROR(FIND(Summary!$P$89,CONCATENATE(C922,D922,E922))),ISERROR(FIND(Summary!$Q$89,A922))),Summary!$R$45,IF(H922&gt;Summary!$V$3,Summary!$R$46,Summary!$R$45))*(B922+30),0)</f>
        <v>15</v>
      </c>
      <c r="H922">
        <f>IF(H921&gt;Summary!$V$4,0,H921+F921)</f>
        <v>150894</v>
      </c>
      <c r="I922" s="26">
        <f>DATE(YEAR(Summary!$V$2),MONTH(Summary!$V$2),DAY(Summary!$V$2)+INT(H922/480))</f>
        <v>43904</v>
      </c>
      <c r="J922" s="27">
        <f t="shared" si="15"/>
        <v>0.45416666666666666</v>
      </c>
    </row>
    <row r="923" spans="1:10">
      <c r="A923" t="str">
        <f>VLOOKUP(Summary!M922,Summary!$P$13:$Q$24,2)</f>
        <v>B1700-fire</v>
      </c>
      <c r="B923">
        <f>ROUND(NORMINV(Summary!M924,VLOOKUP(A923,Summary!$Q$13:$S$24,3,FALSE),VLOOKUP(A923,Summary!$Q$13:$S$24,3,FALSE)/6),-1)</f>
        <v>820</v>
      </c>
      <c r="C923" t="str">
        <f>IF(AND(H923=0,C922=Summary!$P$2),Summary!$Q$2,IF(AND(H923=0,C922=Summary!$Q$2),Summary!$R$2,C922))</f>
        <v>Reed</v>
      </c>
      <c r="D923" t="str">
        <f>IF(C923=Summary!$P$26,VLOOKUP(Summary!M930,Summary!$Q$26:$R$27,2),IF('Run Data'!C923=Summary!$P$28,VLOOKUP(Summary!M930,Summary!$Q$28:$R$29,2),VLOOKUP(Summary!M930,Summary!$Q$30:$R$32,2)))</f>
        <v>Sprig 2</v>
      </c>
      <c r="E923" t="str">
        <f>VLOOKUP(Summary!M933,Summary!$P$42:$Q$43,2)</f>
        <v>86</v>
      </c>
      <c r="F923">
        <f>IF(LEFT(A923,3)="B60",20,IF(LEFT(A923,3)="B12",30,25))+B923*0.5+INT(Summary!M936*20)</f>
        <v>449</v>
      </c>
      <c r="G923">
        <f>ROUND(IF(OR(ISERROR(FIND(Summary!$P$89,CONCATENATE(C923,D923,E923))),ISERROR(FIND(Summary!$Q$89,A923))),Summary!$R$45,IF(H923&gt;Summary!$V$3,Summary!$R$46,Summary!$R$45))*(B923+30),0)</f>
        <v>102</v>
      </c>
      <c r="H923">
        <f>IF(H922&gt;Summary!$V$4,0,H922+F922)</f>
        <v>151675</v>
      </c>
      <c r="I923" s="26">
        <f>DATE(YEAR(Summary!$V$2),MONTH(Summary!$V$2),DAY(Summary!$V$2)+INT(H923/480))</f>
        <v>43905</v>
      </c>
      <c r="J923" s="27">
        <f t="shared" si="15"/>
        <v>0.66319444444444442</v>
      </c>
    </row>
    <row r="924" spans="1:10">
      <c r="A924" t="str">
        <f>VLOOKUP(Summary!M923,Summary!$P$13:$Q$24,2)</f>
        <v>B1700-lime</v>
      </c>
      <c r="B924">
        <f>ROUND(NORMINV(Summary!M925,VLOOKUP(A924,Summary!$Q$13:$S$24,3,FALSE),VLOOKUP(A924,Summary!$Q$13:$S$24,3,FALSE)/6),-1)</f>
        <v>290</v>
      </c>
      <c r="C924" t="str">
        <f>IF(AND(H924=0,C923=Summary!$P$2),Summary!$Q$2,IF(AND(H924=0,C923=Summary!$Q$2),Summary!$R$2,C923))</f>
        <v>Reed</v>
      </c>
      <c r="D924" t="str">
        <f>IF(C924=Summary!$P$26,VLOOKUP(Summary!M931,Summary!$Q$26:$R$27,2),IF('Run Data'!C924=Summary!$P$28,VLOOKUP(Summary!M931,Summary!$Q$28:$R$29,2),VLOOKUP(Summary!M931,Summary!$Q$30:$R$32,2)))</f>
        <v>Sprig 2</v>
      </c>
      <c r="E924" t="str">
        <f>VLOOKUP(Summary!M934,Summary!$P$42:$Q$43,2)</f>
        <v>86</v>
      </c>
      <c r="F924">
        <f>IF(LEFT(A924,3)="B60",20,IF(LEFT(A924,3)="B12",30,25))+B924*0.5+INT(Summary!M937*20)</f>
        <v>187</v>
      </c>
      <c r="G924">
        <f>ROUND(IF(OR(ISERROR(FIND(Summary!$P$89,CONCATENATE(C924,D924,E924))),ISERROR(FIND(Summary!$Q$89,A924))),Summary!$R$45,IF(H924&gt;Summary!$V$3,Summary!$R$46,Summary!$R$45))*(B924+30),0)</f>
        <v>38</v>
      </c>
      <c r="H924">
        <f>IF(H923&gt;Summary!$V$4,0,H923+F923)</f>
        <v>152124</v>
      </c>
      <c r="I924" s="26">
        <f>DATE(YEAR(Summary!$V$2),MONTH(Summary!$V$2),DAY(Summary!$V$2)+INT(H924/480))</f>
        <v>43906</v>
      </c>
      <c r="J924" s="27">
        <f t="shared" si="15"/>
        <v>0.64166666666666672</v>
      </c>
    </row>
    <row r="925" spans="1:10">
      <c r="A925" t="str">
        <f>VLOOKUP(Summary!M924,Summary!$P$13:$Q$24,2)</f>
        <v>B1700-plum</v>
      </c>
      <c r="B925">
        <f>ROUND(NORMINV(Summary!M926,VLOOKUP(A925,Summary!$Q$13:$S$24,3,FALSE),VLOOKUP(A925,Summary!$Q$13:$S$24,3,FALSE)/6),-1)</f>
        <v>250</v>
      </c>
      <c r="C925" t="str">
        <f>IF(AND(H925=0,C924=Summary!$P$2),Summary!$Q$2,IF(AND(H925=0,C924=Summary!$Q$2),Summary!$R$2,C924))</f>
        <v>Reed</v>
      </c>
      <c r="D925" t="str">
        <f>IF(C925=Summary!$P$26,VLOOKUP(Summary!M932,Summary!$Q$26:$R$27,2),IF('Run Data'!C925=Summary!$P$28,VLOOKUP(Summary!M932,Summary!$Q$28:$R$29,2),VLOOKUP(Summary!M932,Summary!$Q$30:$R$32,2)))</f>
        <v>Sprig 2</v>
      </c>
      <c r="E925" t="str">
        <f>VLOOKUP(Summary!M935,Summary!$P$42:$Q$43,2)</f>
        <v>86</v>
      </c>
      <c r="F925">
        <f>IF(LEFT(A925,3)="B60",20,IF(LEFT(A925,3)="B12",30,25))+B925*0.5+INT(Summary!M938*20)</f>
        <v>168</v>
      </c>
      <c r="G925">
        <f>ROUND(IF(OR(ISERROR(FIND(Summary!$P$89,CONCATENATE(C925,D925,E925))),ISERROR(FIND(Summary!$Q$89,A925))),Summary!$R$45,IF(H925&gt;Summary!$V$3,Summary!$R$46,Summary!$R$45))*(B925+30),0)</f>
        <v>34</v>
      </c>
      <c r="H925">
        <f>IF(H924&gt;Summary!$V$4,0,H924+F924)</f>
        <v>152311</v>
      </c>
      <c r="I925" s="26">
        <f>DATE(YEAR(Summary!$V$2),MONTH(Summary!$V$2),DAY(Summary!$V$2)+INT(H925/480))</f>
        <v>43907</v>
      </c>
      <c r="J925" s="27">
        <f t="shared" si="15"/>
        <v>0.4381944444444445</v>
      </c>
    </row>
    <row r="926" spans="1:10">
      <c r="A926" t="str">
        <f>VLOOKUP(Summary!M925,Summary!$P$13:$Q$24,2)</f>
        <v>B600-sky</v>
      </c>
      <c r="B926">
        <f>ROUND(NORMINV(Summary!M927,VLOOKUP(A926,Summary!$Q$13:$S$24,3,FALSE),VLOOKUP(A926,Summary!$Q$13:$S$24,3,FALSE)/6),-1)</f>
        <v>610</v>
      </c>
      <c r="C926" t="str">
        <f>IF(AND(H926=0,C925=Summary!$P$2),Summary!$Q$2,IF(AND(H926=0,C925=Summary!$Q$2),Summary!$R$2,C925))</f>
        <v>Reed</v>
      </c>
      <c r="D926" t="str">
        <f>IF(C926=Summary!$P$26,VLOOKUP(Summary!M933,Summary!$Q$26:$R$27,2),IF('Run Data'!C926=Summary!$P$28,VLOOKUP(Summary!M933,Summary!$Q$28:$R$29,2),VLOOKUP(Summary!M933,Summary!$Q$30:$R$32,2)))</f>
        <v>Sprig 2</v>
      </c>
      <c r="E926" t="str">
        <f>VLOOKUP(Summary!M936,Summary!$P$42:$Q$43,2)</f>
        <v>86</v>
      </c>
      <c r="F926">
        <f>IF(LEFT(A926,3)="B60",20,IF(LEFT(A926,3)="B12",30,25))+B926*0.5+INT(Summary!M939*20)</f>
        <v>334</v>
      </c>
      <c r="G926">
        <f>ROUND(IF(OR(ISERROR(FIND(Summary!$P$89,CONCATENATE(C926,D926,E926))),ISERROR(FIND(Summary!$Q$89,A926))),Summary!$R$45,IF(H926&gt;Summary!$V$3,Summary!$R$46,Summary!$R$45))*(B926+30),0)</f>
        <v>6</v>
      </c>
      <c r="H926">
        <f>IF(H925&gt;Summary!$V$4,0,H925+F925)</f>
        <v>152479</v>
      </c>
      <c r="I926" s="26">
        <f>DATE(YEAR(Summary!$V$2),MONTH(Summary!$V$2),DAY(Summary!$V$2)+INT(H926/480))</f>
        <v>43907</v>
      </c>
      <c r="J926" s="27">
        <f t="shared" si="15"/>
        <v>0.55486111111111114</v>
      </c>
    </row>
    <row r="927" spans="1:10">
      <c r="A927" t="str">
        <f>VLOOKUP(Summary!M926,Summary!$P$13:$Q$24,2)</f>
        <v>B600-lime</v>
      </c>
      <c r="B927">
        <f>ROUND(NORMINV(Summary!M928,VLOOKUP(A927,Summary!$Q$13:$S$24,3,FALSE),VLOOKUP(A927,Summary!$Q$13:$S$24,3,FALSE)/6),-1)</f>
        <v>240</v>
      </c>
      <c r="C927" t="str">
        <f>IF(AND(H927=0,C926=Summary!$P$2),Summary!$Q$2,IF(AND(H927=0,C926=Summary!$Q$2),Summary!$R$2,C926))</f>
        <v>Reed</v>
      </c>
      <c r="D927" t="str">
        <f>IF(C927=Summary!$P$26,VLOOKUP(Summary!M934,Summary!$Q$26:$R$27,2),IF('Run Data'!C927=Summary!$P$28,VLOOKUP(Summary!M934,Summary!$Q$28:$R$29,2),VLOOKUP(Summary!M934,Summary!$Q$30:$R$32,2)))</f>
        <v>Sprig 2</v>
      </c>
      <c r="E927" t="str">
        <f>VLOOKUP(Summary!M937,Summary!$P$42:$Q$43,2)</f>
        <v>87b</v>
      </c>
      <c r="F927">
        <f>IF(LEFT(A927,3)="B60",20,IF(LEFT(A927,3)="B12",30,25))+B927*0.5+INT(Summary!M940*20)</f>
        <v>157</v>
      </c>
      <c r="G927">
        <f>ROUND(IF(OR(ISERROR(FIND(Summary!$P$89,CONCATENATE(C927,D927,E927))),ISERROR(FIND(Summary!$Q$89,A927))),Summary!$R$45,IF(H927&gt;Summary!$V$3,Summary!$R$46,Summary!$R$45))*(B927+30),0)</f>
        <v>3</v>
      </c>
      <c r="H927">
        <f>IF(H926&gt;Summary!$V$4,0,H926+F926)</f>
        <v>152813</v>
      </c>
      <c r="I927" s="26">
        <f>DATE(YEAR(Summary!$V$2),MONTH(Summary!$V$2),DAY(Summary!$V$2)+INT(H927/480))</f>
        <v>43908</v>
      </c>
      <c r="J927" s="27">
        <f t="shared" si="15"/>
        <v>0.45347222222222222</v>
      </c>
    </row>
    <row r="928" spans="1:10">
      <c r="A928" t="str">
        <f>VLOOKUP(Summary!M927,Summary!$P$13:$Q$24,2)</f>
        <v>B1700-fire</v>
      </c>
      <c r="B928">
        <f>ROUND(NORMINV(Summary!M929,VLOOKUP(A928,Summary!$Q$13:$S$24,3,FALSE),VLOOKUP(A928,Summary!$Q$13:$S$24,3,FALSE)/6),-1)</f>
        <v>750</v>
      </c>
      <c r="C928" t="str">
        <f>IF(AND(H928=0,C927=Summary!$P$2),Summary!$Q$2,IF(AND(H928=0,C927=Summary!$Q$2),Summary!$R$2,C927))</f>
        <v>Reed</v>
      </c>
      <c r="D928" t="str">
        <f>IF(C928=Summary!$P$26,VLOOKUP(Summary!M935,Summary!$Q$26:$R$27,2),IF('Run Data'!C928=Summary!$P$28,VLOOKUP(Summary!M935,Summary!$Q$28:$R$29,2),VLOOKUP(Summary!M935,Summary!$Q$30:$R$32,2)))</f>
        <v>Sprig 4</v>
      </c>
      <c r="E928" t="str">
        <f>VLOOKUP(Summary!M938,Summary!$P$42:$Q$43,2)</f>
        <v>87b</v>
      </c>
      <c r="F928">
        <f>IF(LEFT(A928,3)="B60",20,IF(LEFT(A928,3)="B12",30,25))+B928*0.5+INT(Summary!M941*20)</f>
        <v>412</v>
      </c>
      <c r="G928">
        <f>ROUND(IF(OR(ISERROR(FIND(Summary!$P$89,CONCATENATE(C928,D928,E928))),ISERROR(FIND(Summary!$Q$89,A928))),Summary!$R$45,IF(H928&gt;Summary!$V$3,Summary!$R$46,Summary!$R$45))*(B928+30),0)</f>
        <v>8</v>
      </c>
      <c r="H928">
        <f>IF(H927&gt;Summary!$V$4,0,H927+F927)</f>
        <v>152970</v>
      </c>
      <c r="I928" s="26">
        <f>DATE(YEAR(Summary!$V$2),MONTH(Summary!$V$2),DAY(Summary!$V$2)+INT(H928/480))</f>
        <v>43908</v>
      </c>
      <c r="J928" s="27">
        <f t="shared" si="15"/>
        <v>0.5625</v>
      </c>
    </row>
    <row r="929" spans="1:10">
      <c r="A929" t="str">
        <f>VLOOKUP(Summary!M928,Summary!$P$13:$Q$24,2)</f>
        <v>B600-fire</v>
      </c>
      <c r="B929">
        <f>ROUND(NORMINV(Summary!M930,VLOOKUP(A929,Summary!$Q$13:$S$24,3,FALSE),VLOOKUP(A929,Summary!$Q$13:$S$24,3,FALSE)/6),-1)</f>
        <v>440</v>
      </c>
      <c r="C929" t="str">
        <f>IF(AND(H929=0,C928=Summary!$P$2),Summary!$Q$2,IF(AND(H929=0,C928=Summary!$Q$2),Summary!$R$2,C928))</f>
        <v>Reed</v>
      </c>
      <c r="D929" t="str">
        <f>IF(C929=Summary!$P$26,VLOOKUP(Summary!M936,Summary!$Q$26:$R$27,2),IF('Run Data'!C929=Summary!$P$28,VLOOKUP(Summary!M936,Summary!$Q$28:$R$29,2),VLOOKUP(Summary!M936,Summary!$Q$30:$R$32,2)))</f>
        <v>Sprig 2</v>
      </c>
      <c r="E929" t="str">
        <f>VLOOKUP(Summary!M939,Summary!$P$42:$Q$43,2)</f>
        <v>86</v>
      </c>
      <c r="F929">
        <f>IF(LEFT(A929,3)="B60",20,IF(LEFT(A929,3)="B12",30,25))+B929*0.5+INT(Summary!M942*20)</f>
        <v>255</v>
      </c>
      <c r="G929">
        <f>ROUND(IF(OR(ISERROR(FIND(Summary!$P$89,CONCATENATE(C929,D929,E929))),ISERROR(FIND(Summary!$Q$89,A929))),Summary!$R$45,IF(H929&gt;Summary!$V$3,Summary!$R$46,Summary!$R$45))*(B929+30),0)</f>
        <v>5</v>
      </c>
      <c r="H929">
        <f>IF(H928&gt;Summary!$V$4,0,H928+F928)</f>
        <v>153382</v>
      </c>
      <c r="I929" s="26">
        <f>DATE(YEAR(Summary!$V$2),MONTH(Summary!$V$2),DAY(Summary!$V$2)+INT(H929/480))</f>
        <v>43909</v>
      </c>
      <c r="J929" s="27">
        <f t="shared" si="15"/>
        <v>0.51527777777777783</v>
      </c>
    </row>
    <row r="930" spans="1:10">
      <c r="A930" t="str">
        <f>VLOOKUP(Summary!M929,Summary!$P$13:$Q$24,2)</f>
        <v>B1200-fire</v>
      </c>
      <c r="B930">
        <f>ROUND(NORMINV(Summary!M931,VLOOKUP(A930,Summary!$Q$13:$S$24,3,FALSE),VLOOKUP(A930,Summary!$Q$13:$S$24,3,FALSE)/6),-1)</f>
        <v>1060</v>
      </c>
      <c r="C930" t="str">
        <f>IF(AND(H930=0,C929=Summary!$P$2),Summary!$Q$2,IF(AND(H930=0,C929=Summary!$Q$2),Summary!$R$2,C929))</f>
        <v>Reed</v>
      </c>
      <c r="D930" t="str">
        <f>IF(C930=Summary!$P$26,VLOOKUP(Summary!M937,Summary!$Q$26:$R$27,2),IF('Run Data'!C930=Summary!$P$28,VLOOKUP(Summary!M937,Summary!$Q$28:$R$29,2),VLOOKUP(Summary!M937,Summary!$Q$30:$R$32,2)))</f>
        <v>Sprig 4</v>
      </c>
      <c r="E930" t="str">
        <f>VLOOKUP(Summary!M940,Summary!$P$42:$Q$43,2)</f>
        <v>87b</v>
      </c>
      <c r="F930">
        <f>IF(LEFT(A930,3)="B60",20,IF(LEFT(A930,3)="B12",30,25))+B930*0.5+INT(Summary!M943*20)</f>
        <v>567</v>
      </c>
      <c r="G930">
        <f>ROUND(IF(OR(ISERROR(FIND(Summary!$P$89,CONCATENATE(C930,D930,E930))),ISERROR(FIND(Summary!$Q$89,A930))),Summary!$R$45,IF(H930&gt;Summary!$V$3,Summary!$R$46,Summary!$R$45))*(B930+30),0)</f>
        <v>11</v>
      </c>
      <c r="H930">
        <f>IF(H929&gt;Summary!$V$4,0,H929+F929)</f>
        <v>153637</v>
      </c>
      <c r="I930" s="26">
        <f>DATE(YEAR(Summary!$V$2),MONTH(Summary!$V$2),DAY(Summary!$V$2)+INT(H930/480))</f>
        <v>43910</v>
      </c>
      <c r="J930" s="27">
        <f t="shared" si="15"/>
        <v>0.35902777777777778</v>
      </c>
    </row>
    <row r="931" spans="1:10">
      <c r="A931" t="str">
        <f>VLOOKUP(Summary!M930,Summary!$P$13:$Q$24,2)</f>
        <v>B1700-plum</v>
      </c>
      <c r="B931">
        <f>ROUND(NORMINV(Summary!M932,VLOOKUP(A931,Summary!$Q$13:$S$24,3,FALSE),VLOOKUP(A931,Summary!$Q$13:$S$24,3,FALSE)/6),-1)</f>
        <v>290</v>
      </c>
      <c r="C931" t="str">
        <f>IF(AND(H931=0,C930=Summary!$P$2),Summary!$Q$2,IF(AND(H931=0,C930=Summary!$Q$2),Summary!$R$2,C930))</f>
        <v>Reed</v>
      </c>
      <c r="D931" t="str">
        <f>IF(C931=Summary!$P$26,VLOOKUP(Summary!M938,Summary!$Q$26:$R$27,2),IF('Run Data'!C931=Summary!$P$28,VLOOKUP(Summary!M938,Summary!$Q$28:$R$29,2),VLOOKUP(Summary!M938,Summary!$Q$30:$R$32,2)))</f>
        <v>Sprig 4</v>
      </c>
      <c r="E931" t="str">
        <f>VLOOKUP(Summary!M941,Summary!$P$42:$Q$43,2)</f>
        <v>86</v>
      </c>
      <c r="F931">
        <f>IF(LEFT(A931,3)="B60",20,IF(LEFT(A931,3)="B12",30,25))+B931*0.5+INT(Summary!M944*20)</f>
        <v>184</v>
      </c>
      <c r="G931">
        <f>ROUND(IF(OR(ISERROR(FIND(Summary!$P$89,CONCATENATE(C931,D931,E931))),ISERROR(FIND(Summary!$Q$89,A931))),Summary!$R$45,IF(H931&gt;Summary!$V$3,Summary!$R$46,Summary!$R$45))*(B931+30),0)</f>
        <v>38</v>
      </c>
      <c r="H931">
        <f>IF(H930&gt;Summary!$V$4,0,H930+F930)</f>
        <v>154204</v>
      </c>
      <c r="I931" s="26">
        <f>DATE(YEAR(Summary!$V$2),MONTH(Summary!$V$2),DAY(Summary!$V$2)+INT(H931/480))</f>
        <v>43911</v>
      </c>
      <c r="J931" s="27">
        <f t="shared" si="15"/>
        <v>0.41944444444444445</v>
      </c>
    </row>
    <row r="932" spans="1:10">
      <c r="A932" t="str">
        <f>VLOOKUP(Summary!M931,Summary!$P$13:$Q$24,2)</f>
        <v>B1200-plum</v>
      </c>
      <c r="B932">
        <f>ROUND(NORMINV(Summary!M933,VLOOKUP(A932,Summary!$Q$13:$S$24,3,FALSE),VLOOKUP(A932,Summary!$Q$13:$S$24,3,FALSE)/6),-1)</f>
        <v>470</v>
      </c>
      <c r="C932" t="str">
        <f>IF(AND(H932=0,C931=Summary!$P$2),Summary!$Q$2,IF(AND(H932=0,C931=Summary!$Q$2),Summary!$R$2,C931))</f>
        <v>Reed</v>
      </c>
      <c r="D932" t="str">
        <f>IF(C932=Summary!$P$26,VLOOKUP(Summary!M939,Summary!$Q$26:$R$27,2),IF('Run Data'!C932=Summary!$P$28,VLOOKUP(Summary!M939,Summary!$Q$28:$R$29,2),VLOOKUP(Summary!M939,Summary!$Q$30:$R$32,2)))</f>
        <v>Sprig 2</v>
      </c>
      <c r="E932" t="str">
        <f>VLOOKUP(Summary!M942,Summary!$P$42:$Q$43,2)</f>
        <v>86</v>
      </c>
      <c r="F932">
        <f>IF(LEFT(A932,3)="B60",20,IF(LEFT(A932,3)="B12",30,25))+B932*0.5+INT(Summary!M945*20)</f>
        <v>269</v>
      </c>
      <c r="G932">
        <f>ROUND(IF(OR(ISERROR(FIND(Summary!$P$89,CONCATENATE(C932,D932,E932))),ISERROR(FIND(Summary!$Q$89,A932))),Summary!$R$45,IF(H932&gt;Summary!$V$3,Summary!$R$46,Summary!$R$45))*(B932+30),0)</f>
        <v>5</v>
      </c>
      <c r="H932">
        <f>IF(H931&gt;Summary!$V$4,0,H931+F931)</f>
        <v>154388</v>
      </c>
      <c r="I932" s="26">
        <f>DATE(YEAR(Summary!$V$2),MONTH(Summary!$V$2),DAY(Summary!$V$2)+INT(H932/480))</f>
        <v>43911</v>
      </c>
      <c r="J932" s="27">
        <f t="shared" si="15"/>
        <v>0.54722222222222217</v>
      </c>
    </row>
    <row r="933" spans="1:10">
      <c r="A933" t="str">
        <f>VLOOKUP(Summary!M932,Summary!$P$13:$Q$24,2)</f>
        <v>B1200-sky</v>
      </c>
      <c r="B933">
        <f>ROUND(NORMINV(Summary!M934,VLOOKUP(A933,Summary!$Q$13:$S$24,3,FALSE),VLOOKUP(A933,Summary!$Q$13:$S$24,3,FALSE)/6),-1)</f>
        <v>1340</v>
      </c>
      <c r="C933" t="str">
        <f>IF(AND(H933=0,C932=Summary!$P$2),Summary!$Q$2,IF(AND(H933=0,C932=Summary!$Q$2),Summary!$R$2,C932))</f>
        <v>Reed</v>
      </c>
      <c r="D933" t="str">
        <f>IF(C933=Summary!$P$26,VLOOKUP(Summary!M940,Summary!$Q$26:$R$27,2),IF('Run Data'!C933=Summary!$P$28,VLOOKUP(Summary!M940,Summary!$Q$28:$R$29,2),VLOOKUP(Summary!M940,Summary!$Q$30:$R$32,2)))</f>
        <v>Sprig 4</v>
      </c>
      <c r="E933" t="str">
        <f>VLOOKUP(Summary!M943,Summary!$P$42:$Q$43,2)</f>
        <v>86</v>
      </c>
      <c r="F933">
        <f>IF(LEFT(A933,3)="B60",20,IF(LEFT(A933,3)="B12",30,25))+B933*0.5+INT(Summary!M946*20)</f>
        <v>701</v>
      </c>
      <c r="G933">
        <f>ROUND(IF(OR(ISERROR(FIND(Summary!$P$89,CONCATENATE(C933,D933,E933))),ISERROR(FIND(Summary!$Q$89,A933))),Summary!$R$45,IF(H933&gt;Summary!$V$3,Summary!$R$46,Summary!$R$45))*(B933+30),0)</f>
        <v>14</v>
      </c>
      <c r="H933">
        <f>IF(H932&gt;Summary!$V$4,0,H932+F932)</f>
        <v>154657</v>
      </c>
      <c r="I933" s="26">
        <f>DATE(YEAR(Summary!$V$2),MONTH(Summary!$V$2),DAY(Summary!$V$2)+INT(H933/480))</f>
        <v>43912</v>
      </c>
      <c r="J933" s="27">
        <f t="shared" si="15"/>
        <v>0.40069444444444446</v>
      </c>
    </row>
    <row r="934" spans="1:10">
      <c r="A934" t="str">
        <f>VLOOKUP(Summary!M933,Summary!$P$13:$Q$24,2)</f>
        <v>B1200-lime</v>
      </c>
      <c r="B934">
        <f>ROUND(NORMINV(Summary!M935,VLOOKUP(A934,Summary!$Q$13:$S$24,3,FALSE),VLOOKUP(A934,Summary!$Q$13:$S$24,3,FALSE)/6),-1)</f>
        <v>940</v>
      </c>
      <c r="C934" t="str">
        <f>IF(AND(H934=0,C933=Summary!$P$2),Summary!$Q$2,IF(AND(H934=0,C933=Summary!$Q$2),Summary!$R$2,C933))</f>
        <v>Reed</v>
      </c>
      <c r="D934" t="str">
        <f>IF(C934=Summary!$P$26,VLOOKUP(Summary!M941,Summary!$Q$26:$R$27,2),IF('Run Data'!C934=Summary!$P$28,VLOOKUP(Summary!M941,Summary!$Q$28:$R$29,2),VLOOKUP(Summary!M941,Summary!$Q$30:$R$32,2)))</f>
        <v>Sprig 2</v>
      </c>
      <c r="E934" t="str">
        <f>VLOOKUP(Summary!M944,Summary!$P$42:$Q$43,2)</f>
        <v>86</v>
      </c>
      <c r="F934">
        <f>IF(LEFT(A934,3)="B60",20,IF(LEFT(A934,3)="B12",30,25))+B934*0.5+INT(Summary!M947*20)</f>
        <v>502</v>
      </c>
      <c r="G934">
        <f>ROUND(IF(OR(ISERROR(FIND(Summary!$P$89,CONCATENATE(C934,D934,E934))),ISERROR(FIND(Summary!$Q$89,A934))),Summary!$R$45,IF(H934&gt;Summary!$V$3,Summary!$R$46,Summary!$R$45))*(B934+30),0)</f>
        <v>10</v>
      </c>
      <c r="H934">
        <f>IF(H933&gt;Summary!$V$4,0,H933+F933)</f>
        <v>155358</v>
      </c>
      <c r="I934" s="26">
        <f>DATE(YEAR(Summary!$V$2),MONTH(Summary!$V$2),DAY(Summary!$V$2)+INT(H934/480))</f>
        <v>43913</v>
      </c>
      <c r="J934" s="27">
        <f t="shared" si="15"/>
        <v>0.5541666666666667</v>
      </c>
    </row>
    <row r="935" spans="1:10">
      <c r="A935" t="str">
        <f>VLOOKUP(Summary!M934,Summary!$P$13:$Q$24,2)</f>
        <v>B1700-plum</v>
      </c>
      <c r="B935">
        <f>ROUND(NORMINV(Summary!M936,VLOOKUP(A935,Summary!$Q$13:$S$24,3,FALSE),VLOOKUP(A935,Summary!$Q$13:$S$24,3,FALSE)/6),-1)</f>
        <v>330</v>
      </c>
      <c r="C935" t="str">
        <f>IF(AND(H935=0,C934=Summary!$P$2),Summary!$Q$2,IF(AND(H935=0,C934=Summary!$Q$2),Summary!$R$2,C934))</f>
        <v>Reed</v>
      </c>
      <c r="D935" t="str">
        <f>IF(C935=Summary!$P$26,VLOOKUP(Summary!M942,Summary!$Q$26:$R$27,2),IF('Run Data'!C935=Summary!$P$28,VLOOKUP(Summary!M942,Summary!$Q$28:$R$29,2),VLOOKUP(Summary!M942,Summary!$Q$30:$R$32,2)))</f>
        <v>Sprig 2</v>
      </c>
      <c r="E935" t="str">
        <f>VLOOKUP(Summary!M945,Summary!$P$42:$Q$43,2)</f>
        <v>86</v>
      </c>
      <c r="F935">
        <f>IF(LEFT(A935,3)="B60",20,IF(LEFT(A935,3)="B12",30,25))+B935*0.5+INT(Summary!M948*20)</f>
        <v>196</v>
      </c>
      <c r="G935">
        <f>ROUND(IF(OR(ISERROR(FIND(Summary!$P$89,CONCATENATE(C935,D935,E935))),ISERROR(FIND(Summary!$Q$89,A935))),Summary!$R$45,IF(H935&gt;Summary!$V$3,Summary!$R$46,Summary!$R$45))*(B935+30),0)</f>
        <v>43</v>
      </c>
      <c r="H935">
        <f>IF(H934&gt;Summary!$V$4,0,H934+F934)</f>
        <v>155860</v>
      </c>
      <c r="I935" s="26">
        <f>DATE(YEAR(Summary!$V$2),MONTH(Summary!$V$2),DAY(Summary!$V$2)+INT(H935/480))</f>
        <v>43914</v>
      </c>
      <c r="J935" s="27">
        <f t="shared" si="15"/>
        <v>0.56944444444444442</v>
      </c>
    </row>
    <row r="936" spans="1:10">
      <c r="A936" t="str">
        <f>VLOOKUP(Summary!M935,Summary!$P$13:$Q$24,2)</f>
        <v>B1700-sky</v>
      </c>
      <c r="B936">
        <f>ROUND(NORMINV(Summary!M937,VLOOKUP(A936,Summary!$Q$13:$S$24,3,FALSE),VLOOKUP(A936,Summary!$Q$13:$S$24,3,FALSE)/6),-1)</f>
        <v>650</v>
      </c>
      <c r="C936" t="str">
        <f>IF(AND(H936=0,C935=Summary!$P$2),Summary!$Q$2,IF(AND(H936=0,C935=Summary!$Q$2),Summary!$R$2,C935))</f>
        <v>Reed</v>
      </c>
      <c r="D936" t="str">
        <f>IF(C936=Summary!$P$26,VLOOKUP(Summary!M943,Summary!$Q$26:$R$27,2),IF('Run Data'!C936=Summary!$P$28,VLOOKUP(Summary!M943,Summary!$Q$28:$R$29,2),VLOOKUP(Summary!M943,Summary!$Q$30:$R$32,2)))</f>
        <v>Sprig 2</v>
      </c>
      <c r="E936" t="str">
        <f>VLOOKUP(Summary!M946,Summary!$P$42:$Q$43,2)</f>
        <v>86</v>
      </c>
      <c r="F936">
        <f>IF(LEFT(A936,3)="B60",20,IF(LEFT(A936,3)="B12",30,25))+B936*0.5+INT(Summary!M949*20)</f>
        <v>351</v>
      </c>
      <c r="G936">
        <f>ROUND(IF(OR(ISERROR(FIND(Summary!$P$89,CONCATENATE(C936,D936,E936))),ISERROR(FIND(Summary!$Q$89,A936))),Summary!$R$45,IF(H936&gt;Summary!$V$3,Summary!$R$46,Summary!$R$45))*(B936+30),0)</f>
        <v>82</v>
      </c>
      <c r="H936">
        <f>IF(H935&gt;Summary!$V$4,0,H935+F935)</f>
        <v>156056</v>
      </c>
      <c r="I936" s="26">
        <f>DATE(YEAR(Summary!$V$2),MONTH(Summary!$V$2),DAY(Summary!$V$2)+INT(H936/480))</f>
        <v>43915</v>
      </c>
      <c r="J936" s="27">
        <f t="shared" si="15"/>
        <v>0.37222222222222223</v>
      </c>
    </row>
    <row r="937" spans="1:10">
      <c r="A937" t="str">
        <f>VLOOKUP(Summary!M936,Summary!$P$13:$Q$24,2)</f>
        <v>B1700-plum</v>
      </c>
      <c r="B937">
        <f>ROUND(NORMINV(Summary!M938,VLOOKUP(A937,Summary!$Q$13:$S$24,3,FALSE),VLOOKUP(A937,Summary!$Q$13:$S$24,3,FALSE)/6),-1)</f>
        <v>370</v>
      </c>
      <c r="C937" t="str">
        <f>IF(AND(H937=0,C936=Summary!$P$2),Summary!$Q$2,IF(AND(H937=0,C936=Summary!$Q$2),Summary!$R$2,C936))</f>
        <v>Reed</v>
      </c>
      <c r="D937" t="str">
        <f>IF(C937=Summary!$P$26,VLOOKUP(Summary!M944,Summary!$Q$26:$R$27,2),IF('Run Data'!C937=Summary!$P$28,VLOOKUP(Summary!M944,Summary!$Q$28:$R$29,2),VLOOKUP(Summary!M944,Summary!$Q$30:$R$32,2)))</f>
        <v>Sprig 2</v>
      </c>
      <c r="E937" t="str">
        <f>VLOOKUP(Summary!M947,Summary!$P$42:$Q$43,2)</f>
        <v>86</v>
      </c>
      <c r="F937">
        <f>IF(LEFT(A937,3)="B60",20,IF(LEFT(A937,3)="B12",30,25))+B937*0.5+INT(Summary!M950*20)</f>
        <v>211</v>
      </c>
      <c r="G937">
        <f>ROUND(IF(OR(ISERROR(FIND(Summary!$P$89,CONCATENATE(C937,D937,E937))),ISERROR(FIND(Summary!$Q$89,A937))),Summary!$R$45,IF(H937&gt;Summary!$V$3,Summary!$R$46,Summary!$R$45))*(B937+30),0)</f>
        <v>48</v>
      </c>
      <c r="H937">
        <f>IF(H936&gt;Summary!$V$4,0,H936+F936)</f>
        <v>156407</v>
      </c>
      <c r="I937" s="26">
        <f>DATE(YEAR(Summary!$V$2),MONTH(Summary!$V$2),DAY(Summary!$V$2)+INT(H937/480))</f>
        <v>43915</v>
      </c>
      <c r="J937" s="27">
        <f t="shared" si="15"/>
        <v>0.61597222222222225</v>
      </c>
    </row>
    <row r="938" spans="1:10">
      <c r="A938" t="str">
        <f>VLOOKUP(Summary!M937,Summary!$P$13:$Q$24,2)</f>
        <v>B1700-fire</v>
      </c>
      <c r="B938">
        <f>ROUND(NORMINV(Summary!M939,VLOOKUP(A938,Summary!$Q$13:$S$24,3,FALSE),VLOOKUP(A938,Summary!$Q$13:$S$24,3,FALSE)/6),-1)</f>
        <v>730</v>
      </c>
      <c r="C938" t="str">
        <f>IF(AND(H938=0,C937=Summary!$P$2),Summary!$Q$2,IF(AND(H938=0,C937=Summary!$Q$2),Summary!$R$2,C937))</f>
        <v>Reed</v>
      </c>
      <c r="D938" t="str">
        <f>IF(C938=Summary!$P$26,VLOOKUP(Summary!M945,Summary!$Q$26:$R$27,2),IF('Run Data'!C938=Summary!$P$28,VLOOKUP(Summary!M945,Summary!$Q$28:$R$29,2),VLOOKUP(Summary!M945,Summary!$Q$30:$R$32,2)))</f>
        <v>Sprig 2</v>
      </c>
      <c r="E938" t="str">
        <f>VLOOKUP(Summary!M948,Summary!$P$42:$Q$43,2)</f>
        <v>86</v>
      </c>
      <c r="F938">
        <f>IF(LEFT(A938,3)="B60",20,IF(LEFT(A938,3)="B12",30,25))+B938*0.5+INT(Summary!M951*20)</f>
        <v>408</v>
      </c>
      <c r="G938">
        <f>ROUND(IF(OR(ISERROR(FIND(Summary!$P$89,CONCATENATE(C938,D938,E938))),ISERROR(FIND(Summary!$Q$89,A938))),Summary!$R$45,IF(H938&gt;Summary!$V$3,Summary!$R$46,Summary!$R$45))*(B938+30),0)</f>
        <v>91</v>
      </c>
      <c r="H938">
        <f>IF(H937&gt;Summary!$V$4,0,H937+F937)</f>
        <v>156618</v>
      </c>
      <c r="I938" s="26">
        <f>DATE(YEAR(Summary!$V$2),MONTH(Summary!$V$2),DAY(Summary!$V$2)+INT(H938/480))</f>
        <v>43916</v>
      </c>
      <c r="J938" s="27">
        <f t="shared" si="15"/>
        <v>0.4291666666666667</v>
      </c>
    </row>
    <row r="939" spans="1:10">
      <c r="A939" t="str">
        <f>VLOOKUP(Summary!M938,Summary!$P$13:$Q$24,2)</f>
        <v>B1700-lime</v>
      </c>
      <c r="B939">
        <f>ROUND(NORMINV(Summary!M940,VLOOKUP(A939,Summary!$Q$13:$S$24,3,FALSE),VLOOKUP(A939,Summary!$Q$13:$S$24,3,FALSE)/6),-1)</f>
        <v>470</v>
      </c>
      <c r="C939" t="str">
        <f>IF(AND(H939=0,C938=Summary!$P$2),Summary!$Q$2,IF(AND(H939=0,C938=Summary!$Q$2),Summary!$R$2,C938))</f>
        <v>Reed</v>
      </c>
      <c r="D939" t="str">
        <f>IF(C939=Summary!$P$26,VLOOKUP(Summary!M946,Summary!$Q$26:$R$27,2),IF('Run Data'!C939=Summary!$P$28,VLOOKUP(Summary!M946,Summary!$Q$28:$R$29,2),VLOOKUP(Summary!M946,Summary!$Q$30:$R$32,2)))</f>
        <v>Sprig 2</v>
      </c>
      <c r="E939" t="str">
        <f>VLOOKUP(Summary!M949,Summary!$P$42:$Q$43,2)</f>
        <v>86</v>
      </c>
      <c r="F939">
        <f>IF(LEFT(A939,3)="B60",20,IF(LEFT(A939,3)="B12",30,25))+B939*0.5+INT(Summary!M952*20)</f>
        <v>274</v>
      </c>
      <c r="G939">
        <f>ROUND(IF(OR(ISERROR(FIND(Summary!$P$89,CONCATENATE(C939,D939,E939))),ISERROR(FIND(Summary!$Q$89,A939))),Summary!$R$45,IF(H939&gt;Summary!$V$3,Summary!$R$46,Summary!$R$45))*(B939+30),0)</f>
        <v>60</v>
      </c>
      <c r="H939">
        <f>IF(H938&gt;Summary!$V$4,0,H938+F938)</f>
        <v>157026</v>
      </c>
      <c r="I939" s="26">
        <f>DATE(YEAR(Summary!$V$2),MONTH(Summary!$V$2),DAY(Summary!$V$2)+INT(H939/480))</f>
        <v>43917</v>
      </c>
      <c r="J939" s="27">
        <f t="shared" si="15"/>
        <v>0.37916666666666665</v>
      </c>
    </row>
    <row r="940" spans="1:10">
      <c r="A940" t="str">
        <f>VLOOKUP(Summary!M939,Summary!$P$13:$Q$24,2)</f>
        <v>B1200-fire</v>
      </c>
      <c r="B940">
        <f>ROUND(NORMINV(Summary!M941,VLOOKUP(A940,Summary!$Q$13:$S$24,3,FALSE),VLOOKUP(A940,Summary!$Q$13:$S$24,3,FALSE)/6),-1)</f>
        <v>1270</v>
      </c>
      <c r="C940" t="str">
        <f>IF(AND(H940=0,C939=Summary!$P$2),Summary!$Q$2,IF(AND(H940=0,C939=Summary!$Q$2),Summary!$R$2,C939))</f>
        <v>Reed</v>
      </c>
      <c r="D940" t="str">
        <f>IF(C940=Summary!$P$26,VLOOKUP(Summary!M947,Summary!$Q$26:$R$27,2),IF('Run Data'!C940=Summary!$P$28,VLOOKUP(Summary!M947,Summary!$Q$28:$R$29,2),VLOOKUP(Summary!M947,Summary!$Q$30:$R$32,2)))</f>
        <v>Sprig 2</v>
      </c>
      <c r="E940" t="str">
        <f>VLOOKUP(Summary!M950,Summary!$P$42:$Q$43,2)</f>
        <v>86</v>
      </c>
      <c r="F940">
        <f>IF(LEFT(A940,3)="B60",20,IF(LEFT(A940,3)="B12",30,25))+B940*0.5+INT(Summary!M953*20)</f>
        <v>674</v>
      </c>
      <c r="G940">
        <f>ROUND(IF(OR(ISERROR(FIND(Summary!$P$89,CONCATENATE(C940,D940,E940))),ISERROR(FIND(Summary!$Q$89,A940))),Summary!$R$45,IF(H940&gt;Summary!$V$3,Summary!$R$46,Summary!$R$45))*(B940+30),0)</f>
        <v>13</v>
      </c>
      <c r="H940">
        <f>IF(H939&gt;Summary!$V$4,0,H939+F939)</f>
        <v>157300</v>
      </c>
      <c r="I940" s="26">
        <f>DATE(YEAR(Summary!$V$2),MONTH(Summary!$V$2),DAY(Summary!$V$2)+INT(H940/480))</f>
        <v>43917</v>
      </c>
      <c r="J940" s="27">
        <f t="shared" si="15"/>
        <v>0.56944444444444442</v>
      </c>
    </row>
    <row r="941" spans="1:10">
      <c r="A941" t="str">
        <f>VLOOKUP(Summary!M940,Summary!$P$13:$Q$24,2)</f>
        <v>B1700-fire</v>
      </c>
      <c r="B941">
        <f>ROUND(NORMINV(Summary!M942,VLOOKUP(A941,Summary!$Q$13:$S$24,3,FALSE),VLOOKUP(A941,Summary!$Q$13:$S$24,3,FALSE)/6),-1)</f>
        <v>840</v>
      </c>
      <c r="C941" t="str">
        <f>IF(AND(H941=0,C940=Summary!$P$2),Summary!$Q$2,IF(AND(H941=0,C940=Summary!$Q$2),Summary!$R$2,C940))</f>
        <v>Reed</v>
      </c>
      <c r="D941" t="str">
        <f>IF(C941=Summary!$P$26,VLOOKUP(Summary!M948,Summary!$Q$26:$R$27,2),IF('Run Data'!C941=Summary!$P$28,VLOOKUP(Summary!M948,Summary!$Q$28:$R$29,2),VLOOKUP(Summary!M948,Summary!$Q$30:$R$32,2)))</f>
        <v>Sprig 2</v>
      </c>
      <c r="E941" t="str">
        <f>VLOOKUP(Summary!M951,Summary!$P$42:$Q$43,2)</f>
        <v>87b</v>
      </c>
      <c r="F941">
        <f>IF(LEFT(A941,3)="B60",20,IF(LEFT(A941,3)="B12",30,25))+B941*0.5+INT(Summary!M954*20)</f>
        <v>445</v>
      </c>
      <c r="G941">
        <f>ROUND(IF(OR(ISERROR(FIND(Summary!$P$89,CONCATENATE(C941,D941,E941))),ISERROR(FIND(Summary!$Q$89,A941))),Summary!$R$45,IF(H941&gt;Summary!$V$3,Summary!$R$46,Summary!$R$45))*(B941+30),0)</f>
        <v>9</v>
      </c>
      <c r="H941">
        <f>IF(H940&gt;Summary!$V$4,0,H940+F940)</f>
        <v>157974</v>
      </c>
      <c r="I941" s="26">
        <f>DATE(YEAR(Summary!$V$2),MONTH(Summary!$V$2),DAY(Summary!$V$2)+INT(H941/480))</f>
        <v>43919</v>
      </c>
      <c r="J941" s="27">
        <f t="shared" si="15"/>
        <v>0.37083333333333335</v>
      </c>
    </row>
    <row r="942" spans="1:10">
      <c r="A942" t="str">
        <f>VLOOKUP(Summary!M941,Summary!$P$13:$Q$24,2)</f>
        <v>B1200-lime</v>
      </c>
      <c r="B942">
        <f>ROUND(NORMINV(Summary!M943,VLOOKUP(A942,Summary!$Q$13:$S$24,3,FALSE),VLOOKUP(A942,Summary!$Q$13:$S$24,3,FALSE)/6),-1)</f>
        <v>750</v>
      </c>
      <c r="C942" t="str">
        <f>IF(AND(H942=0,C941=Summary!$P$2),Summary!$Q$2,IF(AND(H942=0,C941=Summary!$Q$2),Summary!$R$2,C941))</f>
        <v>Reed</v>
      </c>
      <c r="D942" t="str">
        <f>IF(C942=Summary!$P$26,VLOOKUP(Summary!M949,Summary!$Q$26:$R$27,2),IF('Run Data'!C942=Summary!$P$28,VLOOKUP(Summary!M949,Summary!$Q$28:$R$29,2),VLOOKUP(Summary!M949,Summary!$Q$30:$R$32,2)))</f>
        <v>Sprig 2</v>
      </c>
      <c r="E942" t="str">
        <f>VLOOKUP(Summary!M952,Summary!$P$42:$Q$43,2)</f>
        <v>86</v>
      </c>
      <c r="F942">
        <f>IF(LEFT(A942,3)="B60",20,IF(LEFT(A942,3)="B12",30,25))+B942*0.5+INT(Summary!M955*20)</f>
        <v>420</v>
      </c>
      <c r="G942">
        <f>ROUND(IF(OR(ISERROR(FIND(Summary!$P$89,CONCATENATE(C942,D942,E942))),ISERROR(FIND(Summary!$Q$89,A942))),Summary!$R$45,IF(H942&gt;Summary!$V$3,Summary!$R$46,Summary!$R$45))*(B942+30),0)</f>
        <v>8</v>
      </c>
      <c r="H942">
        <f>IF(H941&gt;Summary!$V$4,0,H941+F941)</f>
        <v>158419</v>
      </c>
      <c r="I942" s="26">
        <f>DATE(YEAR(Summary!$V$2),MONTH(Summary!$V$2),DAY(Summary!$V$2)+INT(H942/480))</f>
        <v>43920</v>
      </c>
      <c r="J942" s="27">
        <f t="shared" si="15"/>
        <v>0.34652777777777777</v>
      </c>
    </row>
    <row r="943" spans="1:10">
      <c r="A943" t="str">
        <f>VLOOKUP(Summary!M942,Summary!$P$13:$Q$24,2)</f>
        <v>B1700-plum</v>
      </c>
      <c r="B943">
        <f>ROUND(NORMINV(Summary!M944,VLOOKUP(A943,Summary!$Q$13:$S$24,3,FALSE),VLOOKUP(A943,Summary!$Q$13:$S$24,3,FALSE)/6),-1)</f>
        <v>330</v>
      </c>
      <c r="C943" t="str">
        <f>IF(AND(H943=0,C942=Summary!$P$2),Summary!$Q$2,IF(AND(H943=0,C942=Summary!$Q$2),Summary!$R$2,C942))</f>
        <v>Reed</v>
      </c>
      <c r="D943" t="str">
        <f>IF(C943=Summary!$P$26,VLOOKUP(Summary!M950,Summary!$Q$26:$R$27,2),IF('Run Data'!C943=Summary!$P$28,VLOOKUP(Summary!M950,Summary!$Q$28:$R$29,2),VLOOKUP(Summary!M950,Summary!$Q$30:$R$32,2)))</f>
        <v>Sprig 2</v>
      </c>
      <c r="E943" t="str">
        <f>VLOOKUP(Summary!M953,Summary!$P$42:$Q$43,2)</f>
        <v>86</v>
      </c>
      <c r="F943">
        <f>IF(LEFT(A943,3)="B60",20,IF(LEFT(A943,3)="B12",30,25))+B943*0.5+INT(Summary!M956*20)</f>
        <v>205</v>
      </c>
      <c r="G943">
        <f>ROUND(IF(OR(ISERROR(FIND(Summary!$P$89,CONCATENATE(C943,D943,E943))),ISERROR(FIND(Summary!$Q$89,A943))),Summary!$R$45,IF(H943&gt;Summary!$V$3,Summary!$R$46,Summary!$R$45))*(B943+30),0)</f>
        <v>43</v>
      </c>
      <c r="H943">
        <f>IF(H942&gt;Summary!$V$4,0,H942+F942)</f>
        <v>158839</v>
      </c>
      <c r="I943" s="26">
        <f>DATE(YEAR(Summary!$V$2),MONTH(Summary!$V$2),DAY(Summary!$V$2)+INT(H943/480))</f>
        <v>43920</v>
      </c>
      <c r="J943" s="27">
        <f t="shared" si="15"/>
        <v>0.6381944444444444</v>
      </c>
    </row>
    <row r="944" spans="1:10">
      <c r="A944" t="str">
        <f>VLOOKUP(Summary!M943,Summary!$P$13:$Q$24,2)</f>
        <v>B1200-sky</v>
      </c>
      <c r="B944">
        <f>ROUND(NORMINV(Summary!M945,VLOOKUP(A944,Summary!$Q$13:$S$24,3,FALSE),VLOOKUP(A944,Summary!$Q$13:$S$24,3,FALSE)/6),-1)</f>
        <v>1050</v>
      </c>
      <c r="C944" t="str">
        <f>IF(AND(H944=0,C943=Summary!$P$2),Summary!$Q$2,IF(AND(H944=0,C943=Summary!$Q$2),Summary!$R$2,C943))</f>
        <v>Reed</v>
      </c>
      <c r="D944" t="str">
        <f>IF(C944=Summary!$P$26,VLOOKUP(Summary!M951,Summary!$Q$26:$R$27,2),IF('Run Data'!C944=Summary!$P$28,VLOOKUP(Summary!M951,Summary!$Q$28:$R$29,2),VLOOKUP(Summary!M951,Summary!$Q$30:$R$32,2)))</f>
        <v>Sprig 4</v>
      </c>
      <c r="E944" t="str">
        <f>VLOOKUP(Summary!M954,Summary!$P$42:$Q$43,2)</f>
        <v>86</v>
      </c>
      <c r="F944">
        <f>IF(LEFT(A944,3)="B60",20,IF(LEFT(A944,3)="B12",30,25))+B944*0.5+INT(Summary!M957*20)</f>
        <v>566</v>
      </c>
      <c r="G944">
        <f>ROUND(IF(OR(ISERROR(FIND(Summary!$P$89,CONCATENATE(C944,D944,E944))),ISERROR(FIND(Summary!$Q$89,A944))),Summary!$R$45,IF(H944&gt;Summary!$V$3,Summary!$R$46,Summary!$R$45))*(B944+30),0)</f>
        <v>11</v>
      </c>
      <c r="H944">
        <f>IF(H943&gt;Summary!$V$4,0,H943+F943)</f>
        <v>159044</v>
      </c>
      <c r="I944" s="26">
        <f>DATE(YEAR(Summary!$V$2),MONTH(Summary!$V$2),DAY(Summary!$V$2)+INT(H944/480))</f>
        <v>43921</v>
      </c>
      <c r="J944" s="27">
        <f t="shared" si="15"/>
        <v>0.44722222222222219</v>
      </c>
    </row>
    <row r="945" spans="1:10">
      <c r="A945" t="str">
        <f>VLOOKUP(Summary!M944,Summary!$P$13:$Q$24,2)</f>
        <v>B1700-plum</v>
      </c>
      <c r="B945">
        <f>ROUND(NORMINV(Summary!M946,VLOOKUP(A945,Summary!$Q$13:$S$24,3,FALSE),VLOOKUP(A945,Summary!$Q$13:$S$24,3,FALSE)/6),-1)</f>
        <v>240</v>
      </c>
      <c r="C945" t="str">
        <f>IF(AND(H945=0,C944=Summary!$P$2),Summary!$Q$2,IF(AND(H945=0,C944=Summary!$Q$2),Summary!$R$2,C944))</f>
        <v>Reed</v>
      </c>
      <c r="D945" t="str">
        <f>IF(C945=Summary!$P$26,VLOOKUP(Summary!M952,Summary!$Q$26:$R$27,2),IF('Run Data'!C945=Summary!$P$28,VLOOKUP(Summary!M952,Summary!$Q$28:$R$29,2),VLOOKUP(Summary!M952,Summary!$Q$30:$R$32,2)))</f>
        <v>Sprig 2</v>
      </c>
      <c r="E945" t="str">
        <f>VLOOKUP(Summary!M955,Summary!$P$42:$Q$43,2)</f>
        <v>86</v>
      </c>
      <c r="F945">
        <f>IF(LEFT(A945,3)="B60",20,IF(LEFT(A945,3)="B12",30,25))+B945*0.5+INT(Summary!M958*20)</f>
        <v>147</v>
      </c>
      <c r="G945">
        <f>ROUND(IF(OR(ISERROR(FIND(Summary!$P$89,CONCATENATE(C945,D945,E945))),ISERROR(FIND(Summary!$Q$89,A945))),Summary!$R$45,IF(H945&gt;Summary!$V$3,Summary!$R$46,Summary!$R$45))*(B945+30),0)</f>
        <v>32</v>
      </c>
      <c r="H945">
        <f>IF(H944&gt;Summary!$V$4,0,H944+F944)</f>
        <v>159610</v>
      </c>
      <c r="I945" s="26">
        <f>DATE(YEAR(Summary!$V$2),MONTH(Summary!$V$2),DAY(Summary!$V$2)+INT(H945/480))</f>
        <v>43922</v>
      </c>
      <c r="J945" s="27">
        <f t="shared" si="15"/>
        <v>0.50694444444444442</v>
      </c>
    </row>
    <row r="946" spans="1:10">
      <c r="A946" t="str">
        <f>VLOOKUP(Summary!M945,Summary!$P$13:$Q$24,2)</f>
        <v>B1200-plum</v>
      </c>
      <c r="B946">
        <f>ROUND(NORMINV(Summary!M947,VLOOKUP(A946,Summary!$Q$13:$S$24,3,FALSE),VLOOKUP(A946,Summary!$Q$13:$S$24,3,FALSE)/6),-1)</f>
        <v>370</v>
      </c>
      <c r="C946" t="str">
        <f>IF(AND(H946=0,C945=Summary!$P$2),Summary!$Q$2,IF(AND(H946=0,C945=Summary!$Q$2),Summary!$R$2,C945))</f>
        <v>Reed</v>
      </c>
      <c r="D946" t="str">
        <f>IF(C946=Summary!$P$26,VLOOKUP(Summary!M953,Summary!$Q$26:$R$27,2),IF('Run Data'!C946=Summary!$P$28,VLOOKUP(Summary!M953,Summary!$Q$28:$R$29,2),VLOOKUP(Summary!M953,Summary!$Q$30:$R$32,2)))</f>
        <v>Sprig 2</v>
      </c>
      <c r="E946" t="str">
        <f>VLOOKUP(Summary!M956,Summary!$P$42:$Q$43,2)</f>
        <v>86</v>
      </c>
      <c r="F946">
        <f>IF(LEFT(A946,3)="B60",20,IF(LEFT(A946,3)="B12",30,25))+B946*0.5+INT(Summary!M959*20)</f>
        <v>234</v>
      </c>
      <c r="G946">
        <f>ROUND(IF(OR(ISERROR(FIND(Summary!$P$89,CONCATENATE(C946,D946,E946))),ISERROR(FIND(Summary!$Q$89,A946))),Summary!$R$45,IF(H946&gt;Summary!$V$3,Summary!$R$46,Summary!$R$45))*(B946+30),0)</f>
        <v>4</v>
      </c>
      <c r="H946">
        <f>IF(H945&gt;Summary!$V$4,0,H945+F945)</f>
        <v>159757</v>
      </c>
      <c r="I946" s="26">
        <f>DATE(YEAR(Summary!$V$2),MONTH(Summary!$V$2),DAY(Summary!$V$2)+INT(H946/480))</f>
        <v>43922</v>
      </c>
      <c r="J946" s="27">
        <f t="shared" si="15"/>
        <v>0.60902777777777783</v>
      </c>
    </row>
    <row r="947" spans="1:10">
      <c r="A947" t="str">
        <f>VLOOKUP(Summary!M946,Summary!$P$13:$Q$24,2)</f>
        <v>B600-sky</v>
      </c>
      <c r="B947">
        <f>ROUND(NORMINV(Summary!M948,VLOOKUP(A947,Summary!$Q$13:$S$24,3,FALSE),VLOOKUP(A947,Summary!$Q$13:$S$24,3,FALSE)/6),-1)</f>
        <v>470</v>
      </c>
      <c r="C947" t="str">
        <f>IF(AND(H947=0,C946=Summary!$P$2),Summary!$Q$2,IF(AND(H947=0,C946=Summary!$Q$2),Summary!$R$2,C946))</f>
        <v>Reed</v>
      </c>
      <c r="D947" t="str">
        <f>IF(C947=Summary!$P$26,VLOOKUP(Summary!M954,Summary!$Q$26:$R$27,2),IF('Run Data'!C947=Summary!$P$28,VLOOKUP(Summary!M954,Summary!$Q$28:$R$29,2),VLOOKUP(Summary!M954,Summary!$Q$30:$R$32,2)))</f>
        <v>Sprig 2</v>
      </c>
      <c r="E947" t="str">
        <f>VLOOKUP(Summary!M957,Summary!$P$42:$Q$43,2)</f>
        <v>86</v>
      </c>
      <c r="F947">
        <f>IF(LEFT(A947,3)="B60",20,IF(LEFT(A947,3)="B12",30,25))+B947*0.5+INT(Summary!M960*20)</f>
        <v>257</v>
      </c>
      <c r="G947">
        <f>ROUND(IF(OR(ISERROR(FIND(Summary!$P$89,CONCATENATE(C947,D947,E947))),ISERROR(FIND(Summary!$Q$89,A947))),Summary!$R$45,IF(H947&gt;Summary!$V$3,Summary!$R$46,Summary!$R$45))*(B947+30),0)</f>
        <v>5</v>
      </c>
      <c r="H947">
        <f>IF(H946&gt;Summary!$V$4,0,H946+F946)</f>
        <v>159991</v>
      </c>
      <c r="I947" s="26">
        <f>DATE(YEAR(Summary!$V$2),MONTH(Summary!$V$2),DAY(Summary!$V$2)+INT(H947/480))</f>
        <v>43923</v>
      </c>
      <c r="J947" s="27">
        <f t="shared" si="15"/>
        <v>0.4381944444444445</v>
      </c>
    </row>
    <row r="948" spans="1:10">
      <c r="A948" t="str">
        <f>VLOOKUP(Summary!M947,Summary!$P$13:$Q$24,2)</f>
        <v>B600-fire</v>
      </c>
      <c r="B948">
        <f>ROUND(NORMINV(Summary!M949,VLOOKUP(A948,Summary!$Q$13:$S$24,3,FALSE),VLOOKUP(A948,Summary!$Q$13:$S$24,3,FALSE)/6),-1)</f>
        <v>300</v>
      </c>
      <c r="C948" t="str">
        <f>IF(AND(H948=0,C947=Summary!$P$2),Summary!$Q$2,IF(AND(H948=0,C947=Summary!$Q$2),Summary!$R$2,C947))</f>
        <v>Reed</v>
      </c>
      <c r="D948" t="str">
        <f>IF(C948=Summary!$P$26,VLOOKUP(Summary!M955,Summary!$Q$26:$R$27,2),IF('Run Data'!C948=Summary!$P$28,VLOOKUP(Summary!M955,Summary!$Q$28:$R$29,2),VLOOKUP(Summary!M955,Summary!$Q$30:$R$32,2)))</f>
        <v>Sprig 2</v>
      </c>
      <c r="E948" t="str">
        <f>VLOOKUP(Summary!M958,Summary!$P$42:$Q$43,2)</f>
        <v>86</v>
      </c>
      <c r="F948">
        <f>IF(LEFT(A948,3)="B60",20,IF(LEFT(A948,3)="B12",30,25))+B948*0.5+INT(Summary!M961*20)</f>
        <v>184</v>
      </c>
      <c r="G948">
        <f>ROUND(IF(OR(ISERROR(FIND(Summary!$P$89,CONCATENATE(C948,D948,E948))),ISERROR(FIND(Summary!$Q$89,A948))),Summary!$R$45,IF(H948&gt;Summary!$V$3,Summary!$R$46,Summary!$R$45))*(B948+30),0)</f>
        <v>3</v>
      </c>
      <c r="H948">
        <f>IF(H947&gt;Summary!$V$4,0,H947+F947)</f>
        <v>160248</v>
      </c>
      <c r="I948" s="26">
        <f>DATE(YEAR(Summary!$V$2),MONTH(Summary!$V$2),DAY(Summary!$V$2)+INT(H948/480))</f>
        <v>43923</v>
      </c>
      <c r="J948" s="27">
        <f t="shared" si="15"/>
        <v>0.6166666666666667</v>
      </c>
    </row>
    <row r="949" spans="1:10">
      <c r="A949" t="str">
        <f>VLOOKUP(Summary!M948,Summary!$P$13:$Q$24,2)</f>
        <v>B1200-sky</v>
      </c>
      <c r="B949">
        <f>ROUND(NORMINV(Summary!M950,VLOOKUP(A949,Summary!$Q$13:$S$24,3,FALSE),VLOOKUP(A949,Summary!$Q$13:$S$24,3,FALSE)/6),-1)</f>
        <v>920</v>
      </c>
      <c r="C949" t="str">
        <f>IF(AND(H949=0,C948=Summary!$P$2),Summary!$Q$2,IF(AND(H949=0,C948=Summary!$Q$2),Summary!$R$2,C948))</f>
        <v>Reed</v>
      </c>
      <c r="D949" t="str">
        <f>IF(C949=Summary!$P$26,VLOOKUP(Summary!M956,Summary!$Q$26:$R$27,2),IF('Run Data'!C949=Summary!$P$28,VLOOKUP(Summary!M956,Summary!$Q$28:$R$29,2),VLOOKUP(Summary!M956,Summary!$Q$30:$R$32,2)))</f>
        <v>Sprig 2</v>
      </c>
      <c r="E949" t="str">
        <f>VLOOKUP(Summary!M959,Summary!$P$42:$Q$43,2)</f>
        <v>87b</v>
      </c>
      <c r="F949">
        <f>IF(LEFT(A949,3)="B60",20,IF(LEFT(A949,3)="B12",30,25))+B949*0.5+INT(Summary!M962*20)</f>
        <v>504</v>
      </c>
      <c r="G949">
        <f>ROUND(IF(OR(ISERROR(FIND(Summary!$P$89,CONCATENATE(C949,D949,E949))),ISERROR(FIND(Summary!$Q$89,A949))),Summary!$R$45,IF(H949&gt;Summary!$V$3,Summary!$R$46,Summary!$R$45))*(B949+30),0)</f>
        <v>10</v>
      </c>
      <c r="H949">
        <f>IF(H948&gt;Summary!$V$4,0,H948+F948)</f>
        <v>160432</v>
      </c>
      <c r="I949" s="26">
        <f>DATE(YEAR(Summary!$V$2),MONTH(Summary!$V$2),DAY(Summary!$V$2)+INT(H949/480))</f>
        <v>43924</v>
      </c>
      <c r="J949" s="27">
        <f t="shared" si="15"/>
        <v>0.41111111111111115</v>
      </c>
    </row>
    <row r="950" spans="1:10">
      <c r="A950" t="str">
        <f>VLOOKUP(Summary!M949,Summary!$P$13:$Q$24,2)</f>
        <v>B600-sky</v>
      </c>
      <c r="B950">
        <f>ROUND(NORMINV(Summary!M951,VLOOKUP(A950,Summary!$Q$13:$S$24,3,FALSE),VLOOKUP(A950,Summary!$Q$13:$S$24,3,FALSE)/6),-1)</f>
        <v>620</v>
      </c>
      <c r="C950" t="str">
        <f>IF(AND(H950=0,C949=Summary!$P$2),Summary!$Q$2,IF(AND(H950=0,C949=Summary!$Q$2),Summary!$R$2,C949))</f>
        <v>Reed</v>
      </c>
      <c r="D950" t="str">
        <f>IF(C950=Summary!$P$26,VLOOKUP(Summary!M957,Summary!$Q$26:$R$27,2),IF('Run Data'!C950=Summary!$P$28,VLOOKUP(Summary!M957,Summary!$Q$28:$R$29,2),VLOOKUP(Summary!M957,Summary!$Q$30:$R$32,2)))</f>
        <v>Sprig 2</v>
      </c>
      <c r="E950" t="str">
        <f>VLOOKUP(Summary!M960,Summary!$P$42:$Q$43,2)</f>
        <v>86</v>
      </c>
      <c r="F950">
        <f>IF(LEFT(A950,3)="B60",20,IF(LEFT(A950,3)="B12",30,25))+B950*0.5+INT(Summary!M963*20)</f>
        <v>341</v>
      </c>
      <c r="G950">
        <f>ROUND(IF(OR(ISERROR(FIND(Summary!$P$89,CONCATENATE(C950,D950,E950))),ISERROR(FIND(Summary!$Q$89,A950))),Summary!$R$45,IF(H950&gt;Summary!$V$3,Summary!$R$46,Summary!$R$45))*(B950+30),0)</f>
        <v>7</v>
      </c>
      <c r="H950">
        <f>IF(H949&gt;Summary!$V$4,0,H949+F949)</f>
        <v>160936</v>
      </c>
      <c r="I950" s="26">
        <f>DATE(YEAR(Summary!$V$2),MONTH(Summary!$V$2),DAY(Summary!$V$2)+INT(H950/480))</f>
        <v>43925</v>
      </c>
      <c r="J950" s="27">
        <f t="shared" si="15"/>
        <v>0.42777777777777781</v>
      </c>
    </row>
    <row r="951" spans="1:10">
      <c r="A951" t="str">
        <f>VLOOKUP(Summary!M950,Summary!$P$13:$Q$24,2)</f>
        <v>B600-sky</v>
      </c>
      <c r="B951">
        <f>ROUND(NORMINV(Summary!M952,VLOOKUP(A951,Summary!$Q$13:$S$24,3,FALSE),VLOOKUP(A951,Summary!$Q$13:$S$24,3,FALSE)/6),-1)</f>
        <v>550</v>
      </c>
      <c r="C951" t="str">
        <f>IF(AND(H951=0,C950=Summary!$P$2),Summary!$Q$2,IF(AND(H951=0,C950=Summary!$Q$2),Summary!$R$2,C950))</f>
        <v>Reed</v>
      </c>
      <c r="D951" t="str">
        <f>IF(C951=Summary!$P$26,VLOOKUP(Summary!M958,Summary!$Q$26:$R$27,2),IF('Run Data'!C951=Summary!$P$28,VLOOKUP(Summary!M958,Summary!$Q$28:$R$29,2),VLOOKUP(Summary!M958,Summary!$Q$30:$R$32,2)))</f>
        <v>Sprig 2</v>
      </c>
      <c r="E951" t="str">
        <f>VLOOKUP(Summary!M961,Summary!$P$42:$Q$43,2)</f>
        <v>86</v>
      </c>
      <c r="F951">
        <f>IF(LEFT(A951,3)="B60",20,IF(LEFT(A951,3)="B12",30,25))+B951*0.5+INT(Summary!M964*20)</f>
        <v>314</v>
      </c>
      <c r="G951">
        <f>ROUND(IF(OR(ISERROR(FIND(Summary!$P$89,CONCATENATE(C951,D951,E951))),ISERROR(FIND(Summary!$Q$89,A951))),Summary!$R$45,IF(H951&gt;Summary!$V$3,Summary!$R$46,Summary!$R$45))*(B951+30),0)</f>
        <v>6</v>
      </c>
      <c r="H951">
        <f>IF(H950&gt;Summary!$V$4,0,H950+F950)</f>
        <v>161277</v>
      </c>
      <c r="I951" s="26">
        <f>DATE(YEAR(Summary!$V$2),MONTH(Summary!$V$2),DAY(Summary!$V$2)+INT(H951/480))</f>
        <v>43925</v>
      </c>
      <c r="J951" s="27">
        <f t="shared" si="15"/>
        <v>0.6645833333333333</v>
      </c>
    </row>
    <row r="952" spans="1:10">
      <c r="A952" t="str">
        <f>VLOOKUP(Summary!M951,Summary!$P$13:$Q$24,2)</f>
        <v>B1700-lime</v>
      </c>
      <c r="B952">
        <f>ROUND(NORMINV(Summary!M953,VLOOKUP(A952,Summary!$Q$13:$S$24,3,FALSE),VLOOKUP(A952,Summary!$Q$13:$S$24,3,FALSE)/6),-1)</f>
        <v>400</v>
      </c>
      <c r="C952" t="str">
        <f>IF(AND(H952=0,C951=Summary!$P$2),Summary!$Q$2,IF(AND(H952=0,C951=Summary!$Q$2),Summary!$R$2,C951))</f>
        <v>Reed</v>
      </c>
      <c r="D952" t="str">
        <f>IF(C952=Summary!$P$26,VLOOKUP(Summary!M959,Summary!$Q$26:$R$27,2),IF('Run Data'!C952=Summary!$P$28,VLOOKUP(Summary!M959,Summary!$Q$28:$R$29,2),VLOOKUP(Summary!M959,Summary!$Q$30:$R$32,2)))</f>
        <v>Sprig 4</v>
      </c>
      <c r="E952" t="str">
        <f>VLOOKUP(Summary!M962,Summary!$P$42:$Q$43,2)</f>
        <v>86</v>
      </c>
      <c r="F952">
        <f>IF(LEFT(A952,3)="B60",20,IF(LEFT(A952,3)="B12",30,25))+B952*0.5+INT(Summary!M965*20)</f>
        <v>226</v>
      </c>
      <c r="G952">
        <f>ROUND(IF(OR(ISERROR(FIND(Summary!$P$89,CONCATENATE(C952,D952,E952))),ISERROR(FIND(Summary!$Q$89,A952))),Summary!$R$45,IF(H952&gt;Summary!$V$3,Summary!$R$46,Summary!$R$45))*(B952+30),0)</f>
        <v>52</v>
      </c>
      <c r="H952">
        <f>IF(H951&gt;Summary!$V$4,0,H951+F951)</f>
        <v>161591</v>
      </c>
      <c r="I952" s="26">
        <f>DATE(YEAR(Summary!$V$2),MONTH(Summary!$V$2),DAY(Summary!$V$2)+INT(H952/480))</f>
        <v>43926</v>
      </c>
      <c r="J952" s="27">
        <f t="shared" si="15"/>
        <v>0.5493055555555556</v>
      </c>
    </row>
    <row r="953" spans="1:10">
      <c r="A953" t="str">
        <f>VLOOKUP(Summary!M952,Summary!$P$13:$Q$24,2)</f>
        <v>B1700-plum</v>
      </c>
      <c r="B953">
        <f>ROUND(NORMINV(Summary!M954,VLOOKUP(A953,Summary!$Q$13:$S$24,3,FALSE),VLOOKUP(A953,Summary!$Q$13:$S$24,3,FALSE)/6),-1)</f>
        <v>200</v>
      </c>
      <c r="C953" t="str">
        <f>IF(AND(H953=0,C952=Summary!$P$2),Summary!$Q$2,IF(AND(H953=0,C952=Summary!$Q$2),Summary!$R$2,C952))</f>
        <v>Reed</v>
      </c>
      <c r="D953" t="str">
        <f>IF(C953=Summary!$P$26,VLOOKUP(Summary!M960,Summary!$Q$26:$R$27,2),IF('Run Data'!C953=Summary!$P$28,VLOOKUP(Summary!M960,Summary!$Q$28:$R$29,2),VLOOKUP(Summary!M960,Summary!$Q$30:$R$32,2)))</f>
        <v>Sprig 2</v>
      </c>
      <c r="E953" t="str">
        <f>VLOOKUP(Summary!M963,Summary!$P$42:$Q$43,2)</f>
        <v>86</v>
      </c>
      <c r="F953">
        <f>IF(LEFT(A953,3)="B60",20,IF(LEFT(A953,3)="B12",30,25))+B953*0.5+INT(Summary!M966*20)</f>
        <v>128</v>
      </c>
      <c r="G953">
        <f>ROUND(IF(OR(ISERROR(FIND(Summary!$P$89,CONCATENATE(C953,D953,E953))),ISERROR(FIND(Summary!$Q$89,A953))),Summary!$R$45,IF(H953&gt;Summary!$V$3,Summary!$R$46,Summary!$R$45))*(B953+30),0)</f>
        <v>28</v>
      </c>
      <c r="H953">
        <f>IF(H952&gt;Summary!$V$4,0,H952+F952)</f>
        <v>161817</v>
      </c>
      <c r="I953" s="26">
        <f>DATE(YEAR(Summary!$V$2),MONTH(Summary!$V$2),DAY(Summary!$V$2)+INT(H953/480))</f>
        <v>43927</v>
      </c>
      <c r="J953" s="27">
        <f t="shared" si="15"/>
        <v>0.37291666666666662</v>
      </c>
    </row>
    <row r="954" spans="1:10">
      <c r="A954" t="str">
        <f>VLOOKUP(Summary!M953,Summary!$P$13:$Q$24,2)</f>
        <v>B1200-fire</v>
      </c>
      <c r="B954">
        <f>ROUND(NORMINV(Summary!M955,VLOOKUP(A954,Summary!$Q$13:$S$24,3,FALSE),VLOOKUP(A954,Summary!$Q$13:$S$24,3,FALSE)/6),-1)</f>
        <v>1340</v>
      </c>
      <c r="C954" t="str">
        <f>IF(AND(H954=0,C953=Summary!$P$2),Summary!$Q$2,IF(AND(H954=0,C953=Summary!$Q$2),Summary!$R$2,C953))</f>
        <v>Reed</v>
      </c>
      <c r="D954" t="str">
        <f>IF(C954=Summary!$P$26,VLOOKUP(Summary!M961,Summary!$Q$26:$R$27,2),IF('Run Data'!C954=Summary!$P$28,VLOOKUP(Summary!M961,Summary!$Q$28:$R$29,2),VLOOKUP(Summary!M961,Summary!$Q$30:$R$32,2)))</f>
        <v>Sprig 2</v>
      </c>
      <c r="E954" t="str">
        <f>VLOOKUP(Summary!M964,Summary!$P$42:$Q$43,2)</f>
        <v>87b</v>
      </c>
      <c r="F954">
        <f>IF(LEFT(A954,3)="B60",20,IF(LEFT(A954,3)="B12",30,25))+B954*0.5+INT(Summary!M967*20)</f>
        <v>707</v>
      </c>
      <c r="G954">
        <f>ROUND(IF(OR(ISERROR(FIND(Summary!$P$89,CONCATENATE(C954,D954,E954))),ISERROR(FIND(Summary!$Q$89,A954))),Summary!$R$45,IF(H954&gt;Summary!$V$3,Summary!$R$46,Summary!$R$45))*(B954+30),0)</f>
        <v>14</v>
      </c>
      <c r="H954">
        <f>IF(H953&gt;Summary!$V$4,0,H953+F953)</f>
        <v>161945</v>
      </c>
      <c r="I954" s="26">
        <f>DATE(YEAR(Summary!$V$2),MONTH(Summary!$V$2),DAY(Summary!$V$2)+INT(H954/480))</f>
        <v>43927</v>
      </c>
      <c r="J954" s="27">
        <f t="shared" si="15"/>
        <v>0.46180555555555558</v>
      </c>
    </row>
    <row r="955" spans="1:10">
      <c r="A955" t="str">
        <f>VLOOKUP(Summary!M954,Summary!$P$13:$Q$24,2)</f>
        <v>B600-plum</v>
      </c>
      <c r="B955">
        <f>ROUND(NORMINV(Summary!M956,VLOOKUP(A955,Summary!$Q$13:$S$24,3,FALSE),VLOOKUP(A955,Summary!$Q$13:$S$24,3,FALSE)/6),-1)</f>
        <v>220</v>
      </c>
      <c r="C955" t="str">
        <f>IF(AND(H955=0,C954=Summary!$P$2),Summary!$Q$2,IF(AND(H955=0,C954=Summary!$Q$2),Summary!$R$2,C954))</f>
        <v>Reed</v>
      </c>
      <c r="D955" t="str">
        <f>IF(C955=Summary!$P$26,VLOOKUP(Summary!M962,Summary!$Q$26:$R$27,2),IF('Run Data'!C955=Summary!$P$28,VLOOKUP(Summary!M962,Summary!$Q$28:$R$29,2),VLOOKUP(Summary!M962,Summary!$Q$30:$R$32,2)))</f>
        <v>Sprig 2</v>
      </c>
      <c r="E955" t="str">
        <f>VLOOKUP(Summary!M965,Summary!$P$42:$Q$43,2)</f>
        <v>86</v>
      </c>
      <c r="F955">
        <f>IF(LEFT(A955,3)="B60",20,IF(LEFT(A955,3)="B12",30,25))+B955*0.5+INT(Summary!M968*20)</f>
        <v>132</v>
      </c>
      <c r="G955">
        <f>ROUND(IF(OR(ISERROR(FIND(Summary!$P$89,CONCATENATE(C955,D955,E955))),ISERROR(FIND(Summary!$Q$89,A955))),Summary!$R$45,IF(H955&gt;Summary!$V$3,Summary!$R$46,Summary!$R$45))*(B955+30),0)</f>
        <v>3</v>
      </c>
      <c r="H955">
        <f>IF(H954&gt;Summary!$V$4,0,H954+F954)</f>
        <v>162652</v>
      </c>
      <c r="I955" s="26">
        <f>DATE(YEAR(Summary!$V$2),MONTH(Summary!$V$2),DAY(Summary!$V$2)+INT(H955/480))</f>
        <v>43928</v>
      </c>
      <c r="J955" s="27">
        <f t="shared" si="15"/>
        <v>0.61944444444444446</v>
      </c>
    </row>
    <row r="956" spans="1:10">
      <c r="A956" t="str">
        <f>VLOOKUP(Summary!M955,Summary!$P$13:$Q$24,2)</f>
        <v>B1700-plum</v>
      </c>
      <c r="B956">
        <f>ROUND(NORMINV(Summary!M957,VLOOKUP(A956,Summary!$Q$13:$S$24,3,FALSE),VLOOKUP(A956,Summary!$Q$13:$S$24,3,FALSE)/6),-1)</f>
        <v>310</v>
      </c>
      <c r="C956" t="str">
        <f>IF(AND(H956=0,C955=Summary!$P$2),Summary!$Q$2,IF(AND(H956=0,C955=Summary!$Q$2),Summary!$R$2,C955))</f>
        <v>Reed</v>
      </c>
      <c r="D956" t="str">
        <f>IF(C956=Summary!$P$26,VLOOKUP(Summary!M963,Summary!$Q$26:$R$27,2),IF('Run Data'!C956=Summary!$P$28,VLOOKUP(Summary!M963,Summary!$Q$28:$R$29,2),VLOOKUP(Summary!M963,Summary!$Q$30:$R$32,2)))</f>
        <v>Sprig 2</v>
      </c>
      <c r="E956" t="str">
        <f>VLOOKUP(Summary!M966,Summary!$P$42:$Q$43,2)</f>
        <v>86</v>
      </c>
      <c r="F956">
        <f>IF(LEFT(A956,3)="B60",20,IF(LEFT(A956,3)="B12",30,25))+B956*0.5+INT(Summary!M969*20)</f>
        <v>191</v>
      </c>
      <c r="G956">
        <f>ROUND(IF(OR(ISERROR(FIND(Summary!$P$89,CONCATENATE(C956,D956,E956))),ISERROR(FIND(Summary!$Q$89,A956))),Summary!$R$45,IF(H956&gt;Summary!$V$3,Summary!$R$46,Summary!$R$45))*(B956+30),0)</f>
        <v>41</v>
      </c>
      <c r="H956">
        <f>IF(H955&gt;Summary!$V$4,0,H955+F955)</f>
        <v>162784</v>
      </c>
      <c r="I956" s="26">
        <f>DATE(YEAR(Summary!$V$2),MONTH(Summary!$V$2),DAY(Summary!$V$2)+INT(H956/480))</f>
        <v>43929</v>
      </c>
      <c r="J956" s="27">
        <f t="shared" si="15"/>
        <v>0.37777777777777777</v>
      </c>
    </row>
    <row r="957" spans="1:10">
      <c r="A957" t="str">
        <f>VLOOKUP(Summary!M956,Summary!$P$13:$Q$24,2)</f>
        <v>B1700-plum</v>
      </c>
      <c r="B957">
        <f>ROUND(NORMINV(Summary!M958,VLOOKUP(A957,Summary!$Q$13:$S$24,3,FALSE),VLOOKUP(A957,Summary!$Q$13:$S$24,3,FALSE)/6),-1)</f>
        <v>240</v>
      </c>
      <c r="C957" t="str">
        <f>IF(AND(H957=0,C956=Summary!$P$2),Summary!$Q$2,IF(AND(H957=0,C956=Summary!$Q$2),Summary!$R$2,C956))</f>
        <v>Reed</v>
      </c>
      <c r="D957" t="str">
        <f>IF(C957=Summary!$P$26,VLOOKUP(Summary!M964,Summary!$Q$26:$R$27,2),IF('Run Data'!C957=Summary!$P$28,VLOOKUP(Summary!M964,Summary!$Q$28:$R$29,2),VLOOKUP(Summary!M964,Summary!$Q$30:$R$32,2)))</f>
        <v>Sprig 4</v>
      </c>
      <c r="E957" t="str">
        <f>VLOOKUP(Summary!M967,Summary!$P$42:$Q$43,2)</f>
        <v>86</v>
      </c>
      <c r="F957">
        <f>IF(LEFT(A957,3)="B60",20,IF(LEFT(A957,3)="B12",30,25))+B957*0.5+INT(Summary!M970*20)</f>
        <v>158</v>
      </c>
      <c r="G957">
        <f>ROUND(IF(OR(ISERROR(FIND(Summary!$P$89,CONCATENATE(C957,D957,E957))),ISERROR(FIND(Summary!$Q$89,A957))),Summary!$R$45,IF(H957&gt;Summary!$V$3,Summary!$R$46,Summary!$R$45))*(B957+30),0)</f>
        <v>32</v>
      </c>
      <c r="H957">
        <f>IF(H956&gt;Summary!$V$4,0,H956+F956)</f>
        <v>162975</v>
      </c>
      <c r="I957" s="26">
        <f>DATE(YEAR(Summary!$V$2),MONTH(Summary!$V$2),DAY(Summary!$V$2)+INT(H957/480))</f>
        <v>43929</v>
      </c>
      <c r="J957" s="27">
        <f t="shared" si="15"/>
        <v>0.51041666666666663</v>
      </c>
    </row>
    <row r="958" spans="1:10">
      <c r="A958" t="str">
        <f>VLOOKUP(Summary!M957,Summary!$P$13:$Q$24,2)</f>
        <v>B1200-lime</v>
      </c>
      <c r="B958">
        <f>ROUND(NORMINV(Summary!M959,VLOOKUP(A958,Summary!$Q$13:$S$24,3,FALSE),VLOOKUP(A958,Summary!$Q$13:$S$24,3,FALSE)/6),-1)</f>
        <v>1040</v>
      </c>
      <c r="C958" t="str">
        <f>IF(AND(H958=0,C957=Summary!$P$2),Summary!$Q$2,IF(AND(H958=0,C957=Summary!$Q$2),Summary!$R$2,C957))</f>
        <v>Reed</v>
      </c>
      <c r="D958" t="str">
        <f>IF(C958=Summary!$P$26,VLOOKUP(Summary!M965,Summary!$Q$26:$R$27,2),IF('Run Data'!C958=Summary!$P$28,VLOOKUP(Summary!M965,Summary!$Q$28:$R$29,2),VLOOKUP(Summary!M965,Summary!$Q$30:$R$32,2)))</f>
        <v>Sprig 2</v>
      </c>
      <c r="E958" t="str">
        <f>VLOOKUP(Summary!M968,Summary!$P$42:$Q$43,2)</f>
        <v>86</v>
      </c>
      <c r="F958">
        <f>IF(LEFT(A958,3)="B60",20,IF(LEFT(A958,3)="B12",30,25))+B958*0.5+INT(Summary!M971*20)</f>
        <v>567</v>
      </c>
      <c r="G958">
        <f>ROUND(IF(OR(ISERROR(FIND(Summary!$P$89,CONCATENATE(C958,D958,E958))),ISERROR(FIND(Summary!$Q$89,A958))),Summary!$R$45,IF(H958&gt;Summary!$V$3,Summary!$R$46,Summary!$R$45))*(B958+30),0)</f>
        <v>11</v>
      </c>
      <c r="H958">
        <f>IF(H957&gt;Summary!$V$4,0,H957+F957)</f>
        <v>163133</v>
      </c>
      <c r="I958" s="26">
        <f>DATE(YEAR(Summary!$V$2),MONTH(Summary!$V$2),DAY(Summary!$V$2)+INT(H958/480))</f>
        <v>43929</v>
      </c>
      <c r="J958" s="27">
        <f t="shared" si="15"/>
        <v>0.62013888888888891</v>
      </c>
    </row>
    <row r="959" spans="1:10">
      <c r="A959" t="str">
        <f>VLOOKUP(Summary!M958,Summary!$P$13:$Q$24,2)</f>
        <v>B600-sky</v>
      </c>
      <c r="B959">
        <f>ROUND(NORMINV(Summary!M960,VLOOKUP(A959,Summary!$Q$13:$S$24,3,FALSE),VLOOKUP(A959,Summary!$Q$13:$S$24,3,FALSE)/6),-1)</f>
        <v>410</v>
      </c>
      <c r="C959" t="str">
        <f>IF(AND(H959=0,C958=Summary!$P$2),Summary!$Q$2,IF(AND(H959=0,C958=Summary!$Q$2),Summary!$R$2,C958))</f>
        <v>Reed</v>
      </c>
      <c r="D959" t="str">
        <f>IF(C959=Summary!$P$26,VLOOKUP(Summary!M966,Summary!$Q$26:$R$27,2),IF('Run Data'!C959=Summary!$P$28,VLOOKUP(Summary!M966,Summary!$Q$28:$R$29,2),VLOOKUP(Summary!M966,Summary!$Q$30:$R$32,2)))</f>
        <v>Sprig 2</v>
      </c>
      <c r="E959" t="str">
        <f>VLOOKUP(Summary!M969,Summary!$P$42:$Q$43,2)</f>
        <v>86</v>
      </c>
      <c r="F959">
        <f>IF(LEFT(A959,3)="B60",20,IF(LEFT(A959,3)="B12",30,25))+B959*0.5+INT(Summary!M972*20)</f>
        <v>230</v>
      </c>
      <c r="G959">
        <f>ROUND(IF(OR(ISERROR(FIND(Summary!$P$89,CONCATENATE(C959,D959,E959))),ISERROR(FIND(Summary!$Q$89,A959))),Summary!$R$45,IF(H959&gt;Summary!$V$3,Summary!$R$46,Summary!$R$45))*(B959+30),0)</f>
        <v>4</v>
      </c>
      <c r="H959">
        <f>IF(H958&gt;Summary!$V$4,0,H958+F958)</f>
        <v>163700</v>
      </c>
      <c r="I959" s="26">
        <f>DATE(YEAR(Summary!$V$2),MONTH(Summary!$V$2),DAY(Summary!$V$2)+INT(H959/480))</f>
        <v>43931</v>
      </c>
      <c r="J959" s="27">
        <f t="shared" si="15"/>
        <v>0.34722222222222227</v>
      </c>
    </row>
    <row r="960" spans="1:10">
      <c r="A960" t="str">
        <f>VLOOKUP(Summary!M959,Summary!$P$13:$Q$24,2)</f>
        <v>B1700-lime</v>
      </c>
      <c r="B960">
        <f>ROUND(NORMINV(Summary!M961,VLOOKUP(A960,Summary!$Q$13:$S$24,3,FALSE),VLOOKUP(A960,Summary!$Q$13:$S$24,3,FALSE)/6),-1)</f>
        <v>440</v>
      </c>
      <c r="C960" t="str">
        <f>IF(AND(H960=0,C959=Summary!$P$2),Summary!$Q$2,IF(AND(H960=0,C959=Summary!$Q$2),Summary!$R$2,C959))</f>
        <v>Reed</v>
      </c>
      <c r="D960" t="str">
        <f>IF(C960=Summary!$P$26,VLOOKUP(Summary!M967,Summary!$Q$26:$R$27,2),IF('Run Data'!C960=Summary!$P$28,VLOOKUP(Summary!M967,Summary!$Q$28:$R$29,2),VLOOKUP(Summary!M967,Summary!$Q$30:$R$32,2)))</f>
        <v>Sprig 2</v>
      </c>
      <c r="E960" t="str">
        <f>VLOOKUP(Summary!M970,Summary!$P$42:$Q$43,2)</f>
        <v>86</v>
      </c>
      <c r="F960">
        <f>IF(LEFT(A960,3)="B60",20,IF(LEFT(A960,3)="B12",30,25))+B960*0.5+INT(Summary!M973*20)</f>
        <v>261</v>
      </c>
      <c r="G960">
        <f>ROUND(IF(OR(ISERROR(FIND(Summary!$P$89,CONCATENATE(C960,D960,E960))),ISERROR(FIND(Summary!$Q$89,A960))),Summary!$R$45,IF(H960&gt;Summary!$V$3,Summary!$R$46,Summary!$R$45))*(B960+30),0)</f>
        <v>56</v>
      </c>
      <c r="H960">
        <f>IF(H959&gt;Summary!$V$4,0,H959+F959)</f>
        <v>163930</v>
      </c>
      <c r="I960" s="26">
        <f>DATE(YEAR(Summary!$V$2),MONTH(Summary!$V$2),DAY(Summary!$V$2)+INT(H960/480))</f>
        <v>43931</v>
      </c>
      <c r="J960" s="27">
        <f t="shared" si="15"/>
        <v>0.50694444444444442</v>
      </c>
    </row>
    <row r="961" spans="1:10">
      <c r="A961" t="str">
        <f>VLOOKUP(Summary!M960,Summary!$P$13:$Q$24,2)</f>
        <v>B600-fire</v>
      </c>
      <c r="B961">
        <f>ROUND(NORMINV(Summary!M962,VLOOKUP(A961,Summary!$Q$13:$S$24,3,FALSE),VLOOKUP(A961,Summary!$Q$13:$S$24,3,FALSE)/6),-1)</f>
        <v>440</v>
      </c>
      <c r="C961" t="str">
        <f>IF(AND(H961=0,C960=Summary!$P$2),Summary!$Q$2,IF(AND(H961=0,C960=Summary!$Q$2),Summary!$R$2,C960))</f>
        <v>Reed</v>
      </c>
      <c r="D961" t="str">
        <f>IF(C961=Summary!$P$26,VLOOKUP(Summary!M968,Summary!$Q$26:$R$27,2),IF('Run Data'!C961=Summary!$P$28,VLOOKUP(Summary!M968,Summary!$Q$28:$R$29,2),VLOOKUP(Summary!M968,Summary!$Q$30:$R$32,2)))</f>
        <v>Sprig 2</v>
      </c>
      <c r="E961" t="str">
        <f>VLOOKUP(Summary!M971,Summary!$P$42:$Q$43,2)</f>
        <v>87b</v>
      </c>
      <c r="F961">
        <f>IF(LEFT(A961,3)="B60",20,IF(LEFT(A961,3)="B12",30,25))+B961*0.5+INT(Summary!M974*20)</f>
        <v>241</v>
      </c>
      <c r="G961">
        <f>ROUND(IF(OR(ISERROR(FIND(Summary!$P$89,CONCATENATE(C961,D961,E961))),ISERROR(FIND(Summary!$Q$89,A961))),Summary!$R$45,IF(H961&gt;Summary!$V$3,Summary!$R$46,Summary!$R$45))*(B961+30),0)</f>
        <v>5</v>
      </c>
      <c r="H961">
        <f>IF(H960&gt;Summary!$V$4,0,H960+F960)</f>
        <v>164191</v>
      </c>
      <c r="I961" s="26">
        <f>DATE(YEAR(Summary!$V$2),MONTH(Summary!$V$2),DAY(Summary!$V$2)+INT(H961/480))</f>
        <v>43932</v>
      </c>
      <c r="J961" s="27">
        <f t="shared" si="15"/>
        <v>0.35486111111111113</v>
      </c>
    </row>
    <row r="962" spans="1:10">
      <c r="A962" t="str">
        <f>VLOOKUP(Summary!M961,Summary!$P$13:$Q$24,2)</f>
        <v>B1700-plum</v>
      </c>
      <c r="B962">
        <f>ROUND(NORMINV(Summary!M963,VLOOKUP(A962,Summary!$Q$13:$S$24,3,FALSE),VLOOKUP(A962,Summary!$Q$13:$S$24,3,FALSE)/6),-1)</f>
        <v>310</v>
      </c>
      <c r="C962" t="str">
        <f>IF(AND(H962=0,C961=Summary!$P$2),Summary!$Q$2,IF(AND(H962=0,C961=Summary!$Q$2),Summary!$R$2,C961))</f>
        <v>Reed</v>
      </c>
      <c r="D962" t="str">
        <f>IF(C962=Summary!$P$26,VLOOKUP(Summary!M969,Summary!$Q$26:$R$27,2),IF('Run Data'!C962=Summary!$P$28,VLOOKUP(Summary!M969,Summary!$Q$28:$R$29,2),VLOOKUP(Summary!M969,Summary!$Q$30:$R$32,2)))</f>
        <v>Sprig 2</v>
      </c>
      <c r="E962" t="str">
        <f>VLOOKUP(Summary!M972,Summary!$P$42:$Q$43,2)</f>
        <v>86</v>
      </c>
      <c r="F962">
        <f>IF(LEFT(A962,3)="B60",20,IF(LEFT(A962,3)="B12",30,25))+B962*0.5+INT(Summary!M975*20)</f>
        <v>185</v>
      </c>
      <c r="G962">
        <f>ROUND(IF(OR(ISERROR(FIND(Summary!$P$89,CONCATENATE(C962,D962,E962))),ISERROR(FIND(Summary!$Q$89,A962))),Summary!$R$45,IF(H962&gt;Summary!$V$3,Summary!$R$46,Summary!$R$45))*(B962+30),0)</f>
        <v>41</v>
      </c>
      <c r="H962">
        <f>IF(H961&gt;Summary!$V$4,0,H961+F961)</f>
        <v>164432</v>
      </c>
      <c r="I962" s="26">
        <f>DATE(YEAR(Summary!$V$2),MONTH(Summary!$V$2),DAY(Summary!$V$2)+INT(H962/480))</f>
        <v>43932</v>
      </c>
      <c r="J962" s="27">
        <f t="shared" si="15"/>
        <v>0.52222222222222225</v>
      </c>
    </row>
    <row r="963" spans="1:10">
      <c r="A963" t="str">
        <f>VLOOKUP(Summary!M962,Summary!$P$13:$Q$24,2)</f>
        <v>B1700-plum</v>
      </c>
      <c r="B963">
        <f>ROUND(NORMINV(Summary!M964,VLOOKUP(A963,Summary!$Q$13:$S$24,3,FALSE),VLOOKUP(A963,Summary!$Q$13:$S$24,3,FALSE)/6),-1)</f>
        <v>440</v>
      </c>
      <c r="C963" t="str">
        <f>IF(AND(H963=0,C962=Summary!$P$2),Summary!$Q$2,IF(AND(H963=0,C962=Summary!$Q$2),Summary!$R$2,C962))</f>
        <v>Reed</v>
      </c>
      <c r="D963" t="str">
        <f>IF(C963=Summary!$P$26,VLOOKUP(Summary!M970,Summary!$Q$26:$R$27,2),IF('Run Data'!C963=Summary!$P$28,VLOOKUP(Summary!M970,Summary!$Q$28:$R$29,2),VLOOKUP(Summary!M970,Summary!$Q$30:$R$32,2)))</f>
        <v>Sprig 2</v>
      </c>
      <c r="E963" t="str">
        <f>VLOOKUP(Summary!M973,Summary!$P$42:$Q$43,2)</f>
        <v>86</v>
      </c>
      <c r="F963">
        <f>IF(LEFT(A963,3)="B60",20,IF(LEFT(A963,3)="B12",30,25))+B963*0.5+INT(Summary!M976*20)</f>
        <v>256</v>
      </c>
      <c r="G963">
        <f>ROUND(IF(OR(ISERROR(FIND(Summary!$P$89,CONCATENATE(C963,D963,E963))),ISERROR(FIND(Summary!$Q$89,A963))),Summary!$R$45,IF(H963&gt;Summary!$V$3,Summary!$R$46,Summary!$R$45))*(B963+30),0)</f>
        <v>56</v>
      </c>
      <c r="H963">
        <f>IF(H962&gt;Summary!$V$4,0,H962+F962)</f>
        <v>164617</v>
      </c>
      <c r="I963" s="26">
        <f>DATE(YEAR(Summary!$V$2),MONTH(Summary!$V$2),DAY(Summary!$V$2)+INT(H963/480))</f>
        <v>43932</v>
      </c>
      <c r="J963" s="27">
        <f t="shared" si="15"/>
        <v>0.65069444444444446</v>
      </c>
    </row>
    <row r="964" spans="1:10">
      <c r="A964" t="str">
        <f>VLOOKUP(Summary!M963,Summary!$P$13:$Q$24,2)</f>
        <v>B1200-lime</v>
      </c>
      <c r="B964">
        <f>ROUND(NORMINV(Summary!M965,VLOOKUP(A964,Summary!$Q$13:$S$24,3,FALSE),VLOOKUP(A964,Summary!$Q$13:$S$24,3,FALSE)/6),-1)</f>
        <v>600</v>
      </c>
      <c r="C964" t="str">
        <f>IF(AND(H964=0,C963=Summary!$P$2),Summary!$Q$2,IF(AND(H964=0,C963=Summary!$Q$2),Summary!$R$2,C963))</f>
        <v>Reed</v>
      </c>
      <c r="D964" t="str">
        <f>IF(C964=Summary!$P$26,VLOOKUP(Summary!M971,Summary!$Q$26:$R$27,2),IF('Run Data'!C964=Summary!$P$28,VLOOKUP(Summary!M971,Summary!$Q$28:$R$29,2),VLOOKUP(Summary!M971,Summary!$Q$30:$R$32,2)))</f>
        <v>Sprig 4</v>
      </c>
      <c r="E964" t="str">
        <f>VLOOKUP(Summary!M974,Summary!$P$42:$Q$43,2)</f>
        <v>86</v>
      </c>
      <c r="F964">
        <f>IF(LEFT(A964,3)="B60",20,IF(LEFT(A964,3)="B12",30,25))+B964*0.5+INT(Summary!M977*20)</f>
        <v>347</v>
      </c>
      <c r="G964">
        <f>ROUND(IF(OR(ISERROR(FIND(Summary!$P$89,CONCATENATE(C964,D964,E964))),ISERROR(FIND(Summary!$Q$89,A964))),Summary!$R$45,IF(H964&gt;Summary!$V$3,Summary!$R$46,Summary!$R$45))*(B964+30),0)</f>
        <v>6</v>
      </c>
      <c r="H964">
        <f>IF(H963&gt;Summary!$V$4,0,H963+F963)</f>
        <v>164873</v>
      </c>
      <c r="I964" s="26">
        <f>DATE(YEAR(Summary!$V$2),MONTH(Summary!$V$2),DAY(Summary!$V$2)+INT(H964/480))</f>
        <v>43933</v>
      </c>
      <c r="J964" s="27">
        <f t="shared" si="15"/>
        <v>0.49513888888888885</v>
      </c>
    </row>
    <row r="965" spans="1:10">
      <c r="A965" t="str">
        <f>VLOOKUP(Summary!M964,Summary!$P$13:$Q$24,2)</f>
        <v>B1700-lime</v>
      </c>
      <c r="B965">
        <f>ROUND(NORMINV(Summary!M966,VLOOKUP(A965,Summary!$Q$13:$S$24,3,FALSE),VLOOKUP(A965,Summary!$Q$13:$S$24,3,FALSE)/6),-1)</f>
        <v>330</v>
      </c>
      <c r="C965" t="str">
        <f>IF(AND(H965=0,C964=Summary!$P$2),Summary!$Q$2,IF(AND(H965=0,C964=Summary!$Q$2),Summary!$R$2,C964))</f>
        <v>Reed</v>
      </c>
      <c r="D965" t="str">
        <f>IF(C965=Summary!$P$26,VLOOKUP(Summary!M972,Summary!$Q$26:$R$27,2),IF('Run Data'!C965=Summary!$P$28,VLOOKUP(Summary!M972,Summary!$Q$28:$R$29,2),VLOOKUP(Summary!M972,Summary!$Q$30:$R$32,2)))</f>
        <v>Sprig 2</v>
      </c>
      <c r="E965" t="str">
        <f>VLOOKUP(Summary!M975,Summary!$P$42:$Q$43,2)</f>
        <v>86</v>
      </c>
      <c r="F965">
        <f>IF(LEFT(A965,3)="B60",20,IF(LEFT(A965,3)="B12",30,25))+B965*0.5+INT(Summary!M978*20)</f>
        <v>204</v>
      </c>
      <c r="G965">
        <f>ROUND(IF(OR(ISERROR(FIND(Summary!$P$89,CONCATENATE(C965,D965,E965))),ISERROR(FIND(Summary!$Q$89,A965))),Summary!$R$45,IF(H965&gt;Summary!$V$3,Summary!$R$46,Summary!$R$45))*(B965+30),0)</f>
        <v>43</v>
      </c>
      <c r="H965">
        <f>IF(H964&gt;Summary!$V$4,0,H964+F964)</f>
        <v>165220</v>
      </c>
      <c r="I965" s="26">
        <f>DATE(YEAR(Summary!$V$2),MONTH(Summary!$V$2),DAY(Summary!$V$2)+INT(H965/480))</f>
        <v>43934</v>
      </c>
      <c r="J965" s="27">
        <f t="shared" si="15"/>
        <v>0.40277777777777773</v>
      </c>
    </row>
    <row r="966" spans="1:10">
      <c r="A966" t="str">
        <f>VLOOKUP(Summary!M965,Summary!$P$13:$Q$24,2)</f>
        <v>B600-sky</v>
      </c>
      <c r="B966">
        <f>ROUND(NORMINV(Summary!M967,VLOOKUP(A966,Summary!$Q$13:$S$24,3,FALSE),VLOOKUP(A966,Summary!$Q$13:$S$24,3,FALSE)/6),-1)</f>
        <v>480</v>
      </c>
      <c r="C966" t="str">
        <f>IF(AND(H966=0,C965=Summary!$P$2),Summary!$Q$2,IF(AND(H966=0,C965=Summary!$Q$2),Summary!$R$2,C965))</f>
        <v>Reed</v>
      </c>
      <c r="D966" t="str">
        <f>IF(C966=Summary!$P$26,VLOOKUP(Summary!M973,Summary!$Q$26:$R$27,2),IF('Run Data'!C966=Summary!$P$28,VLOOKUP(Summary!M973,Summary!$Q$28:$R$29,2),VLOOKUP(Summary!M973,Summary!$Q$30:$R$32,2)))</f>
        <v>Sprig 4</v>
      </c>
      <c r="E966" t="str">
        <f>VLOOKUP(Summary!M976,Summary!$P$42:$Q$43,2)</f>
        <v>86</v>
      </c>
      <c r="F966">
        <f>IF(LEFT(A966,3)="B60",20,IF(LEFT(A966,3)="B12",30,25))+B966*0.5+INT(Summary!M979*20)</f>
        <v>266</v>
      </c>
      <c r="G966">
        <f>ROUND(IF(OR(ISERROR(FIND(Summary!$P$89,CONCATENATE(C966,D966,E966))),ISERROR(FIND(Summary!$Q$89,A966))),Summary!$R$45,IF(H966&gt;Summary!$V$3,Summary!$R$46,Summary!$R$45))*(B966+30),0)</f>
        <v>5</v>
      </c>
      <c r="H966">
        <f>IF(H965&gt;Summary!$V$4,0,H965+F965)</f>
        <v>165424</v>
      </c>
      <c r="I966" s="26">
        <f>DATE(YEAR(Summary!$V$2),MONTH(Summary!$V$2),DAY(Summary!$V$2)+INT(H966/480))</f>
        <v>43934</v>
      </c>
      <c r="J966" s="27">
        <f t="shared" si="15"/>
        <v>0.5444444444444444</v>
      </c>
    </row>
    <row r="967" spans="1:10">
      <c r="A967" t="str">
        <f>VLOOKUP(Summary!M966,Summary!$P$13:$Q$24,2)</f>
        <v>B600-fire</v>
      </c>
      <c r="B967">
        <f>ROUND(NORMINV(Summary!M968,VLOOKUP(A967,Summary!$Q$13:$S$24,3,FALSE),VLOOKUP(A967,Summary!$Q$13:$S$24,3,FALSE)/6),-1)</f>
        <v>320</v>
      </c>
      <c r="C967" t="str">
        <f>IF(AND(H967=0,C966=Summary!$P$2),Summary!$Q$2,IF(AND(H967=0,C966=Summary!$Q$2),Summary!$R$2,C966))</f>
        <v>Reed</v>
      </c>
      <c r="D967" t="str">
        <f>IF(C967=Summary!$P$26,VLOOKUP(Summary!M974,Summary!$Q$26:$R$27,2),IF('Run Data'!C967=Summary!$P$28,VLOOKUP(Summary!M974,Summary!$Q$28:$R$29,2),VLOOKUP(Summary!M974,Summary!$Q$30:$R$32,2)))</f>
        <v>Sprig 2</v>
      </c>
      <c r="E967" t="str">
        <f>VLOOKUP(Summary!M977,Summary!$P$42:$Q$43,2)</f>
        <v>87b</v>
      </c>
      <c r="F967">
        <f>IF(LEFT(A967,3)="B60",20,IF(LEFT(A967,3)="B12",30,25))+B967*0.5+INT(Summary!M980*20)</f>
        <v>199</v>
      </c>
      <c r="G967">
        <f>ROUND(IF(OR(ISERROR(FIND(Summary!$P$89,CONCATENATE(C967,D967,E967))),ISERROR(FIND(Summary!$Q$89,A967))),Summary!$R$45,IF(H967&gt;Summary!$V$3,Summary!$R$46,Summary!$R$45))*(B967+30),0)</f>
        <v>4</v>
      </c>
      <c r="H967">
        <f>IF(H966&gt;Summary!$V$4,0,H966+F966)</f>
        <v>165690</v>
      </c>
      <c r="I967" s="26">
        <f>DATE(YEAR(Summary!$V$2),MONTH(Summary!$V$2),DAY(Summary!$V$2)+INT(H967/480))</f>
        <v>43935</v>
      </c>
      <c r="J967" s="27">
        <f t="shared" si="15"/>
        <v>0.39583333333333331</v>
      </c>
    </row>
    <row r="968" spans="1:10">
      <c r="A968" t="str">
        <f>VLOOKUP(Summary!M967,Summary!$P$13:$Q$24,2)</f>
        <v>B1200-sky</v>
      </c>
      <c r="B968">
        <f>ROUND(NORMINV(Summary!M969,VLOOKUP(A968,Summary!$Q$13:$S$24,3,FALSE),VLOOKUP(A968,Summary!$Q$13:$S$24,3,FALSE)/6),-1)</f>
        <v>1240</v>
      </c>
      <c r="C968" t="str">
        <f>IF(AND(H968=0,C967=Summary!$P$2),Summary!$Q$2,IF(AND(H968=0,C967=Summary!$Q$2),Summary!$R$2,C967))</f>
        <v>Reed</v>
      </c>
      <c r="D968" t="str">
        <f>IF(C968=Summary!$P$26,VLOOKUP(Summary!M975,Summary!$Q$26:$R$27,2),IF('Run Data'!C968=Summary!$P$28,VLOOKUP(Summary!M975,Summary!$Q$28:$R$29,2),VLOOKUP(Summary!M975,Summary!$Q$30:$R$32,2)))</f>
        <v>Sprig 2</v>
      </c>
      <c r="E968" t="str">
        <f>VLOOKUP(Summary!M978,Summary!$P$42:$Q$43,2)</f>
        <v>86</v>
      </c>
      <c r="F968">
        <f>IF(LEFT(A968,3)="B60",20,IF(LEFT(A968,3)="B12",30,25))+B968*0.5+INT(Summary!M981*20)</f>
        <v>655</v>
      </c>
      <c r="G968">
        <f>ROUND(IF(OR(ISERROR(FIND(Summary!$P$89,CONCATENATE(C968,D968,E968))),ISERROR(FIND(Summary!$Q$89,A968))),Summary!$R$45,IF(H968&gt;Summary!$V$3,Summary!$R$46,Summary!$R$45))*(B968+30),0)</f>
        <v>13</v>
      </c>
      <c r="H968">
        <f>IF(H967&gt;Summary!$V$4,0,H967+F967)</f>
        <v>165889</v>
      </c>
      <c r="I968" s="26">
        <f>DATE(YEAR(Summary!$V$2),MONTH(Summary!$V$2),DAY(Summary!$V$2)+INT(H968/480))</f>
        <v>43935</v>
      </c>
      <c r="J968" s="27">
        <f t="shared" si="15"/>
        <v>0.53402777777777777</v>
      </c>
    </row>
    <row r="969" spans="1:10">
      <c r="A969" t="str">
        <f>VLOOKUP(Summary!M968,Summary!$P$13:$Q$24,2)</f>
        <v>B600-fire</v>
      </c>
      <c r="B969">
        <f>ROUND(NORMINV(Summary!M970,VLOOKUP(A969,Summary!$Q$13:$S$24,3,FALSE),VLOOKUP(A969,Summary!$Q$13:$S$24,3,FALSE)/6),-1)</f>
        <v>430</v>
      </c>
      <c r="C969" t="str">
        <f>IF(AND(H969=0,C968=Summary!$P$2),Summary!$Q$2,IF(AND(H969=0,C968=Summary!$Q$2),Summary!$R$2,C968))</f>
        <v>Reed</v>
      </c>
      <c r="D969" t="str">
        <f>IF(C969=Summary!$P$26,VLOOKUP(Summary!M976,Summary!$Q$26:$R$27,2),IF('Run Data'!C969=Summary!$P$28,VLOOKUP(Summary!M976,Summary!$Q$28:$R$29,2),VLOOKUP(Summary!M976,Summary!$Q$30:$R$32,2)))</f>
        <v>Sprig 2</v>
      </c>
      <c r="E969" t="str">
        <f>VLOOKUP(Summary!M979,Summary!$P$42:$Q$43,2)</f>
        <v>86</v>
      </c>
      <c r="F969">
        <f>IF(LEFT(A969,3)="B60",20,IF(LEFT(A969,3)="B12",30,25))+B969*0.5+INT(Summary!M982*20)</f>
        <v>252</v>
      </c>
      <c r="G969">
        <f>ROUND(IF(OR(ISERROR(FIND(Summary!$P$89,CONCATENATE(C969,D969,E969))),ISERROR(FIND(Summary!$Q$89,A969))),Summary!$R$45,IF(H969&gt;Summary!$V$3,Summary!$R$46,Summary!$R$45))*(B969+30),0)</f>
        <v>5</v>
      </c>
      <c r="H969">
        <f>IF(H968&gt;Summary!$V$4,0,H968+F968)</f>
        <v>166544</v>
      </c>
      <c r="I969" s="26">
        <f>DATE(YEAR(Summary!$V$2),MONTH(Summary!$V$2),DAY(Summary!$V$2)+INT(H969/480))</f>
        <v>43936</v>
      </c>
      <c r="J969" s="27">
        <f t="shared" si="15"/>
        <v>0.65555555555555556</v>
      </c>
    </row>
    <row r="970" spans="1:10">
      <c r="A970" t="str">
        <f>VLOOKUP(Summary!M969,Summary!$P$13:$Q$24,2)</f>
        <v>B1200-lime</v>
      </c>
      <c r="B970">
        <f>ROUND(NORMINV(Summary!M971,VLOOKUP(A970,Summary!$Q$13:$S$24,3,FALSE),VLOOKUP(A970,Summary!$Q$13:$S$24,3,FALSE)/6),-1)</f>
        <v>950</v>
      </c>
      <c r="C970" t="str">
        <f>IF(AND(H970=0,C969=Summary!$P$2),Summary!$Q$2,IF(AND(H970=0,C969=Summary!$Q$2),Summary!$R$2,C969))</f>
        <v>Reed</v>
      </c>
      <c r="D970" t="str">
        <f>IF(C970=Summary!$P$26,VLOOKUP(Summary!M977,Summary!$Q$26:$R$27,2),IF('Run Data'!C970=Summary!$P$28,VLOOKUP(Summary!M977,Summary!$Q$28:$R$29,2),VLOOKUP(Summary!M977,Summary!$Q$30:$R$32,2)))</f>
        <v>Sprig 4</v>
      </c>
      <c r="E970" t="str">
        <f>VLOOKUP(Summary!M980,Summary!$P$42:$Q$43,2)</f>
        <v>87b</v>
      </c>
      <c r="F970">
        <f>IF(LEFT(A970,3)="B60",20,IF(LEFT(A970,3)="B12",30,25))+B970*0.5+INT(Summary!M983*20)</f>
        <v>520</v>
      </c>
      <c r="G970">
        <f>ROUND(IF(OR(ISERROR(FIND(Summary!$P$89,CONCATENATE(C970,D970,E970))),ISERROR(FIND(Summary!$Q$89,A970))),Summary!$R$45,IF(H970&gt;Summary!$V$3,Summary!$R$46,Summary!$R$45))*(B970+30),0)</f>
        <v>10</v>
      </c>
      <c r="H970">
        <f>IF(H969&gt;Summary!$V$4,0,H969+F969)</f>
        <v>166796</v>
      </c>
      <c r="I970" s="26">
        <f>DATE(YEAR(Summary!$V$2),MONTH(Summary!$V$2),DAY(Summary!$V$2)+INT(H970/480))</f>
        <v>43937</v>
      </c>
      <c r="J970" s="27">
        <f t="shared" si="15"/>
        <v>0.49722222222222223</v>
      </c>
    </row>
    <row r="971" spans="1:10">
      <c r="A971" t="str">
        <f>VLOOKUP(Summary!M970,Summary!$P$13:$Q$24,2)</f>
        <v>B1200-lime</v>
      </c>
      <c r="B971">
        <f>ROUND(NORMINV(Summary!M972,VLOOKUP(A971,Summary!$Q$13:$S$24,3,FALSE),VLOOKUP(A971,Summary!$Q$13:$S$24,3,FALSE)/6),-1)</f>
        <v>730</v>
      </c>
      <c r="C971" t="str">
        <f>IF(AND(H971=0,C970=Summary!$P$2),Summary!$Q$2,IF(AND(H971=0,C970=Summary!$Q$2),Summary!$R$2,C970))</f>
        <v>Reed</v>
      </c>
      <c r="D971" t="str">
        <f>IF(C971=Summary!$P$26,VLOOKUP(Summary!M978,Summary!$Q$26:$R$27,2),IF('Run Data'!C971=Summary!$P$28,VLOOKUP(Summary!M978,Summary!$Q$28:$R$29,2),VLOOKUP(Summary!M978,Summary!$Q$30:$R$32,2)))</f>
        <v>Sprig 2</v>
      </c>
      <c r="E971" t="str">
        <f>VLOOKUP(Summary!M981,Summary!$P$42:$Q$43,2)</f>
        <v>86</v>
      </c>
      <c r="F971">
        <f>IF(LEFT(A971,3)="B60",20,IF(LEFT(A971,3)="B12",30,25))+B971*0.5+INT(Summary!M984*20)</f>
        <v>410</v>
      </c>
      <c r="G971">
        <f>ROUND(IF(OR(ISERROR(FIND(Summary!$P$89,CONCATENATE(C971,D971,E971))),ISERROR(FIND(Summary!$Q$89,A971))),Summary!$R$45,IF(H971&gt;Summary!$V$3,Summary!$R$46,Summary!$R$45))*(B971+30),0)</f>
        <v>8</v>
      </c>
      <c r="H971">
        <f>IF(H970&gt;Summary!$V$4,0,H970+F970)</f>
        <v>167316</v>
      </c>
      <c r="I971" s="26">
        <f>DATE(YEAR(Summary!$V$2),MONTH(Summary!$V$2),DAY(Summary!$V$2)+INT(H971/480))</f>
        <v>43938</v>
      </c>
      <c r="J971" s="27">
        <f t="shared" si="15"/>
        <v>0.52500000000000002</v>
      </c>
    </row>
    <row r="972" spans="1:10">
      <c r="A972" t="str">
        <f>VLOOKUP(Summary!M971,Summary!$P$13:$Q$24,2)</f>
        <v>B1700-fire</v>
      </c>
      <c r="B972">
        <f>ROUND(NORMINV(Summary!M973,VLOOKUP(A972,Summary!$Q$13:$S$24,3,FALSE),VLOOKUP(A972,Summary!$Q$13:$S$24,3,FALSE)/6),-1)</f>
        <v>880</v>
      </c>
      <c r="C972" t="str">
        <f>IF(AND(H972=0,C971=Summary!$P$2),Summary!$Q$2,IF(AND(H972=0,C971=Summary!$Q$2),Summary!$R$2,C971))</f>
        <v>Reed</v>
      </c>
      <c r="D972" t="str">
        <f>IF(C972=Summary!$P$26,VLOOKUP(Summary!M979,Summary!$Q$26:$R$27,2),IF('Run Data'!C972=Summary!$P$28,VLOOKUP(Summary!M979,Summary!$Q$28:$R$29,2),VLOOKUP(Summary!M979,Summary!$Q$30:$R$32,2)))</f>
        <v>Sprig 2</v>
      </c>
      <c r="E972" t="str">
        <f>VLOOKUP(Summary!M982,Summary!$P$42:$Q$43,2)</f>
        <v>87b</v>
      </c>
      <c r="F972">
        <f>IF(LEFT(A972,3)="B60",20,IF(LEFT(A972,3)="B12",30,25))+B972*0.5+INT(Summary!M985*20)</f>
        <v>470</v>
      </c>
      <c r="G972">
        <f>ROUND(IF(OR(ISERROR(FIND(Summary!$P$89,CONCATENATE(C972,D972,E972))),ISERROR(FIND(Summary!$Q$89,A972))),Summary!$R$45,IF(H972&gt;Summary!$V$3,Summary!$R$46,Summary!$R$45))*(B972+30),0)</f>
        <v>9</v>
      </c>
      <c r="H972">
        <f>IF(H971&gt;Summary!$V$4,0,H971+F971)</f>
        <v>167726</v>
      </c>
      <c r="I972" s="26">
        <f>DATE(YEAR(Summary!$V$2),MONTH(Summary!$V$2),DAY(Summary!$V$2)+INT(H972/480))</f>
        <v>43939</v>
      </c>
      <c r="J972" s="27">
        <f t="shared" si="15"/>
        <v>0.47638888888888892</v>
      </c>
    </row>
    <row r="973" spans="1:10">
      <c r="A973" t="str">
        <f>VLOOKUP(Summary!M972,Summary!$P$13:$Q$24,2)</f>
        <v>B1200-plum</v>
      </c>
      <c r="B973">
        <f>ROUND(NORMINV(Summary!M974,VLOOKUP(A973,Summary!$Q$13:$S$24,3,FALSE),VLOOKUP(A973,Summary!$Q$13:$S$24,3,FALSE)/6),-1)</f>
        <v>330</v>
      </c>
      <c r="C973" t="str">
        <f>IF(AND(H973=0,C972=Summary!$P$2),Summary!$Q$2,IF(AND(H973=0,C972=Summary!$Q$2),Summary!$R$2,C972))</f>
        <v>Reed</v>
      </c>
      <c r="D973" t="str">
        <f>IF(C973=Summary!$P$26,VLOOKUP(Summary!M980,Summary!$Q$26:$R$27,2),IF('Run Data'!C973=Summary!$P$28,VLOOKUP(Summary!M980,Summary!$Q$28:$R$29,2),VLOOKUP(Summary!M980,Summary!$Q$30:$R$32,2)))</f>
        <v>Sprig 4</v>
      </c>
      <c r="E973" t="str">
        <f>VLOOKUP(Summary!M983,Summary!$P$42:$Q$43,2)</f>
        <v>86</v>
      </c>
      <c r="F973">
        <f>IF(LEFT(A973,3)="B60",20,IF(LEFT(A973,3)="B12",30,25))+B973*0.5+INT(Summary!M986*20)</f>
        <v>212</v>
      </c>
      <c r="G973">
        <f>ROUND(IF(OR(ISERROR(FIND(Summary!$P$89,CONCATENATE(C973,D973,E973))),ISERROR(FIND(Summary!$Q$89,A973))),Summary!$R$45,IF(H973&gt;Summary!$V$3,Summary!$R$46,Summary!$R$45))*(B973+30),0)</f>
        <v>4</v>
      </c>
      <c r="H973">
        <f>IF(H972&gt;Summary!$V$4,0,H972+F972)</f>
        <v>168196</v>
      </c>
      <c r="I973" s="26">
        <f>DATE(YEAR(Summary!$V$2),MONTH(Summary!$V$2),DAY(Summary!$V$2)+INT(H973/480))</f>
        <v>43940</v>
      </c>
      <c r="J973" s="27">
        <f t="shared" si="15"/>
        <v>0.4694444444444445</v>
      </c>
    </row>
    <row r="974" spans="1:10">
      <c r="A974" t="str">
        <f>VLOOKUP(Summary!M973,Summary!$P$13:$Q$24,2)</f>
        <v>B1700-sky</v>
      </c>
      <c r="B974">
        <f>ROUND(NORMINV(Summary!M975,VLOOKUP(A974,Summary!$Q$13:$S$24,3,FALSE),VLOOKUP(A974,Summary!$Q$13:$S$24,3,FALSE)/6),-1)</f>
        <v>490</v>
      </c>
      <c r="C974" t="str">
        <f>IF(AND(H974=0,C973=Summary!$P$2),Summary!$Q$2,IF(AND(H974=0,C973=Summary!$Q$2),Summary!$R$2,C973))</f>
        <v>Reed</v>
      </c>
      <c r="D974" t="str">
        <f>IF(C974=Summary!$P$26,VLOOKUP(Summary!M981,Summary!$Q$26:$R$27,2),IF('Run Data'!C974=Summary!$P$28,VLOOKUP(Summary!M981,Summary!$Q$28:$R$29,2),VLOOKUP(Summary!M981,Summary!$Q$30:$R$32,2)))</f>
        <v>Sprig 2</v>
      </c>
      <c r="E974" t="str">
        <f>VLOOKUP(Summary!M984,Summary!$P$42:$Q$43,2)</f>
        <v>86</v>
      </c>
      <c r="F974">
        <f>IF(LEFT(A974,3)="B60",20,IF(LEFT(A974,3)="B12",30,25))+B974*0.5+INT(Summary!M987*20)</f>
        <v>275</v>
      </c>
      <c r="G974">
        <f>ROUND(IF(OR(ISERROR(FIND(Summary!$P$89,CONCATENATE(C974,D974,E974))),ISERROR(FIND(Summary!$Q$89,A974))),Summary!$R$45,IF(H974&gt;Summary!$V$3,Summary!$R$46,Summary!$R$45))*(B974+30),0)</f>
        <v>62</v>
      </c>
      <c r="H974">
        <f>IF(H973&gt;Summary!$V$4,0,H973+F973)</f>
        <v>168408</v>
      </c>
      <c r="I974" s="26">
        <f>DATE(YEAR(Summary!$V$2),MONTH(Summary!$V$2),DAY(Summary!$V$2)+INT(H974/480))</f>
        <v>43940</v>
      </c>
      <c r="J974" s="27">
        <f t="shared" si="15"/>
        <v>0.6166666666666667</v>
      </c>
    </row>
    <row r="975" spans="1:10">
      <c r="A975" t="str">
        <f>VLOOKUP(Summary!M974,Summary!$P$13:$Q$24,2)</f>
        <v>B600-sky</v>
      </c>
      <c r="B975">
        <f>ROUND(NORMINV(Summary!M976,VLOOKUP(A975,Summary!$Q$13:$S$24,3,FALSE),VLOOKUP(A975,Summary!$Q$13:$S$24,3,FALSE)/6),-1)</f>
        <v>510</v>
      </c>
      <c r="C975" t="str">
        <f>IF(AND(H975=0,C974=Summary!$P$2),Summary!$Q$2,IF(AND(H975=0,C974=Summary!$Q$2),Summary!$R$2,C974))</f>
        <v>Reed</v>
      </c>
      <c r="D975" t="str">
        <f>IF(C975=Summary!$P$26,VLOOKUP(Summary!M982,Summary!$Q$26:$R$27,2),IF('Run Data'!C975=Summary!$P$28,VLOOKUP(Summary!M982,Summary!$Q$28:$R$29,2),VLOOKUP(Summary!M982,Summary!$Q$30:$R$32,2)))</f>
        <v>Sprig 4</v>
      </c>
      <c r="E975" t="str">
        <f>VLOOKUP(Summary!M985,Summary!$P$42:$Q$43,2)</f>
        <v>86</v>
      </c>
      <c r="F975">
        <f>IF(LEFT(A975,3)="B60",20,IF(LEFT(A975,3)="B12",30,25))+B975*0.5+INT(Summary!M988*20)</f>
        <v>281</v>
      </c>
      <c r="G975">
        <f>ROUND(IF(OR(ISERROR(FIND(Summary!$P$89,CONCATENATE(C975,D975,E975))),ISERROR(FIND(Summary!$Q$89,A975))),Summary!$R$45,IF(H975&gt;Summary!$V$3,Summary!$R$46,Summary!$R$45))*(B975+30),0)</f>
        <v>5</v>
      </c>
      <c r="H975">
        <f>IF(H974&gt;Summary!$V$4,0,H974+F974)</f>
        <v>168683</v>
      </c>
      <c r="I975" s="26">
        <f>DATE(YEAR(Summary!$V$2),MONTH(Summary!$V$2),DAY(Summary!$V$2)+INT(H975/480))</f>
        <v>43941</v>
      </c>
      <c r="J975" s="27">
        <f t="shared" si="15"/>
        <v>0.47430555555555554</v>
      </c>
    </row>
    <row r="976" spans="1:10">
      <c r="A976" t="str">
        <f>VLOOKUP(Summary!M975,Summary!$P$13:$Q$24,2)</f>
        <v>B1200-plum</v>
      </c>
      <c r="B976">
        <f>ROUND(NORMINV(Summary!M977,VLOOKUP(A976,Summary!$Q$13:$S$24,3,FALSE),VLOOKUP(A976,Summary!$Q$13:$S$24,3,FALSE)/6),-1)</f>
        <v>540</v>
      </c>
      <c r="C976" t="str">
        <f>IF(AND(H976=0,C975=Summary!$P$2),Summary!$Q$2,IF(AND(H976=0,C975=Summary!$Q$2),Summary!$R$2,C975))</f>
        <v>Reed</v>
      </c>
      <c r="D976" t="str">
        <f>IF(C976=Summary!$P$26,VLOOKUP(Summary!M983,Summary!$Q$26:$R$27,2),IF('Run Data'!C976=Summary!$P$28,VLOOKUP(Summary!M983,Summary!$Q$28:$R$29,2),VLOOKUP(Summary!M983,Summary!$Q$30:$R$32,2)))</f>
        <v>Sprig 2</v>
      </c>
      <c r="E976" t="str">
        <f>VLOOKUP(Summary!M986,Summary!$P$42:$Q$43,2)</f>
        <v>87b</v>
      </c>
      <c r="F976">
        <f>IF(LEFT(A976,3)="B60",20,IF(LEFT(A976,3)="B12",30,25))+B976*0.5+INT(Summary!M989*20)</f>
        <v>309</v>
      </c>
      <c r="G976">
        <f>ROUND(IF(OR(ISERROR(FIND(Summary!$P$89,CONCATENATE(C976,D976,E976))),ISERROR(FIND(Summary!$Q$89,A976))),Summary!$R$45,IF(H976&gt;Summary!$V$3,Summary!$R$46,Summary!$R$45))*(B976+30),0)</f>
        <v>6</v>
      </c>
      <c r="H976">
        <f>IF(H975&gt;Summary!$V$4,0,H975+F975)</f>
        <v>168964</v>
      </c>
      <c r="I976" s="26">
        <f>DATE(YEAR(Summary!$V$2),MONTH(Summary!$V$2),DAY(Summary!$V$2)+INT(H976/480))</f>
        <v>43942</v>
      </c>
      <c r="J976" s="27">
        <f t="shared" si="15"/>
        <v>0.33611111111111108</v>
      </c>
    </row>
    <row r="977" spans="1:10">
      <c r="A977" t="str">
        <f>VLOOKUP(Summary!M976,Summary!$P$13:$Q$24,2)</f>
        <v>B1200-lime</v>
      </c>
      <c r="B977">
        <f>ROUND(NORMINV(Summary!M978,VLOOKUP(A977,Summary!$Q$13:$S$24,3,FALSE),VLOOKUP(A977,Summary!$Q$13:$S$24,3,FALSE)/6),-1)</f>
        <v>870</v>
      </c>
      <c r="C977" t="str">
        <f>IF(AND(H977=0,C976=Summary!$P$2),Summary!$Q$2,IF(AND(H977=0,C976=Summary!$Q$2),Summary!$R$2,C976))</f>
        <v>Reed</v>
      </c>
      <c r="D977" t="str">
        <f>IF(C977=Summary!$P$26,VLOOKUP(Summary!M984,Summary!$Q$26:$R$27,2),IF('Run Data'!C977=Summary!$P$28,VLOOKUP(Summary!M984,Summary!$Q$28:$R$29,2),VLOOKUP(Summary!M984,Summary!$Q$30:$R$32,2)))</f>
        <v>Sprig 2</v>
      </c>
      <c r="E977" t="str">
        <f>VLOOKUP(Summary!M987,Summary!$P$42:$Q$43,2)</f>
        <v>86</v>
      </c>
      <c r="F977">
        <f>IF(LEFT(A977,3)="B60",20,IF(LEFT(A977,3)="B12",30,25))+B977*0.5+INT(Summary!M990*20)</f>
        <v>471</v>
      </c>
      <c r="G977">
        <f>ROUND(IF(OR(ISERROR(FIND(Summary!$P$89,CONCATENATE(C977,D977,E977))),ISERROR(FIND(Summary!$Q$89,A977))),Summary!$R$45,IF(H977&gt;Summary!$V$3,Summary!$R$46,Summary!$R$45))*(B977+30),0)</f>
        <v>9</v>
      </c>
      <c r="H977">
        <f>IF(H976&gt;Summary!$V$4,0,H976+F976)</f>
        <v>169273</v>
      </c>
      <c r="I977" s="26">
        <f>DATE(YEAR(Summary!$V$2),MONTH(Summary!$V$2),DAY(Summary!$V$2)+INT(H977/480))</f>
        <v>43942</v>
      </c>
      <c r="J977" s="27">
        <f t="shared" ref="J977:J1040" si="16">TIME(INT(MOD(H977,480)/60)+8,MOD(MOD(H977,480),60),0)</f>
        <v>0.55069444444444449</v>
      </c>
    </row>
    <row r="978" spans="1:10">
      <c r="A978" t="str">
        <f>VLOOKUP(Summary!M977,Summary!$P$13:$Q$24,2)</f>
        <v>B1700-fire</v>
      </c>
      <c r="B978">
        <f>ROUND(NORMINV(Summary!M979,VLOOKUP(A978,Summary!$Q$13:$S$24,3,FALSE),VLOOKUP(A978,Summary!$Q$13:$S$24,3,FALSE)/6),-1)</f>
        <v>690</v>
      </c>
      <c r="C978" t="str">
        <f>IF(AND(H978=0,C977=Summary!$P$2),Summary!$Q$2,IF(AND(H978=0,C977=Summary!$Q$2),Summary!$R$2,C977))</f>
        <v>Reed</v>
      </c>
      <c r="D978" t="str">
        <f>IF(C978=Summary!$P$26,VLOOKUP(Summary!M985,Summary!$Q$26:$R$27,2),IF('Run Data'!C978=Summary!$P$28,VLOOKUP(Summary!M985,Summary!$Q$28:$R$29,2),VLOOKUP(Summary!M985,Summary!$Q$30:$R$32,2)))</f>
        <v>Sprig 2</v>
      </c>
      <c r="E978" t="str">
        <f>VLOOKUP(Summary!M988,Summary!$P$42:$Q$43,2)</f>
        <v>86</v>
      </c>
      <c r="F978">
        <f>IF(LEFT(A978,3)="B60",20,IF(LEFT(A978,3)="B12",30,25))+B978*0.5+INT(Summary!M991*20)</f>
        <v>380</v>
      </c>
      <c r="G978">
        <f>ROUND(IF(OR(ISERROR(FIND(Summary!$P$89,CONCATENATE(C978,D978,E978))),ISERROR(FIND(Summary!$Q$89,A978))),Summary!$R$45,IF(H978&gt;Summary!$V$3,Summary!$R$46,Summary!$R$45))*(B978+30),0)</f>
        <v>86</v>
      </c>
      <c r="H978">
        <f>IF(H977&gt;Summary!$V$4,0,H977+F977)</f>
        <v>169744</v>
      </c>
      <c r="I978" s="26">
        <f>DATE(YEAR(Summary!$V$2),MONTH(Summary!$V$2),DAY(Summary!$V$2)+INT(H978/480))</f>
        <v>43943</v>
      </c>
      <c r="J978" s="27">
        <f t="shared" si="16"/>
        <v>0.5444444444444444</v>
      </c>
    </row>
    <row r="979" spans="1:10">
      <c r="A979" t="str">
        <f>VLOOKUP(Summary!M978,Summary!$P$13:$Q$24,2)</f>
        <v>B1700-plum</v>
      </c>
      <c r="B979">
        <f>ROUND(NORMINV(Summary!M980,VLOOKUP(A979,Summary!$Q$13:$S$24,3,FALSE),VLOOKUP(A979,Summary!$Q$13:$S$24,3,FALSE)/6),-1)</f>
        <v>390</v>
      </c>
      <c r="C979" t="str">
        <f>IF(AND(H979=0,C978=Summary!$P$2),Summary!$Q$2,IF(AND(H979=0,C978=Summary!$Q$2),Summary!$R$2,C978))</f>
        <v>Reed</v>
      </c>
      <c r="D979" t="str">
        <f>IF(C979=Summary!$P$26,VLOOKUP(Summary!M986,Summary!$Q$26:$R$27,2),IF('Run Data'!C979=Summary!$P$28,VLOOKUP(Summary!M986,Summary!$Q$28:$R$29,2),VLOOKUP(Summary!M986,Summary!$Q$30:$R$32,2)))</f>
        <v>Sprig 4</v>
      </c>
      <c r="E979" t="str">
        <f>VLOOKUP(Summary!M989,Summary!$P$42:$Q$43,2)</f>
        <v>86</v>
      </c>
      <c r="F979">
        <f>IF(LEFT(A979,3)="B60",20,IF(LEFT(A979,3)="B12",30,25))+B979*0.5+INT(Summary!M992*20)</f>
        <v>228</v>
      </c>
      <c r="G979">
        <f>ROUND(IF(OR(ISERROR(FIND(Summary!$P$89,CONCATENATE(C979,D979,E979))),ISERROR(FIND(Summary!$Q$89,A979))),Summary!$R$45,IF(H979&gt;Summary!$V$3,Summary!$R$46,Summary!$R$45))*(B979+30),0)</f>
        <v>50</v>
      </c>
      <c r="H979">
        <f>IF(H978&gt;Summary!$V$4,0,H978+F978)</f>
        <v>170124</v>
      </c>
      <c r="I979" s="26">
        <f>DATE(YEAR(Summary!$V$2),MONTH(Summary!$V$2),DAY(Summary!$V$2)+INT(H979/480))</f>
        <v>43944</v>
      </c>
      <c r="J979" s="27">
        <f t="shared" si="16"/>
        <v>0.47500000000000003</v>
      </c>
    </row>
    <row r="980" spans="1:10">
      <c r="A980" t="str">
        <f>VLOOKUP(Summary!M979,Summary!$P$13:$Q$24,2)</f>
        <v>B1200-plum</v>
      </c>
      <c r="B980">
        <f>ROUND(NORMINV(Summary!M981,VLOOKUP(A980,Summary!$Q$13:$S$24,3,FALSE),VLOOKUP(A980,Summary!$Q$13:$S$24,3,FALSE)/6),-1)</f>
        <v>410</v>
      </c>
      <c r="C980" t="str">
        <f>IF(AND(H980=0,C979=Summary!$P$2),Summary!$Q$2,IF(AND(H980=0,C979=Summary!$Q$2),Summary!$R$2,C979))</f>
        <v>Reed</v>
      </c>
      <c r="D980" t="str">
        <f>IF(C980=Summary!$P$26,VLOOKUP(Summary!M987,Summary!$Q$26:$R$27,2),IF('Run Data'!C980=Summary!$P$28,VLOOKUP(Summary!M987,Summary!$Q$28:$R$29,2),VLOOKUP(Summary!M987,Summary!$Q$30:$R$32,2)))</f>
        <v>Sprig 2</v>
      </c>
      <c r="E980" t="str">
        <f>VLOOKUP(Summary!M990,Summary!$P$42:$Q$43,2)</f>
        <v>86</v>
      </c>
      <c r="F980">
        <f>IF(LEFT(A980,3)="B60",20,IF(LEFT(A980,3)="B12",30,25))+B980*0.5+INT(Summary!M993*20)</f>
        <v>249</v>
      </c>
      <c r="G980">
        <f>ROUND(IF(OR(ISERROR(FIND(Summary!$P$89,CONCATENATE(C980,D980,E980))),ISERROR(FIND(Summary!$Q$89,A980))),Summary!$R$45,IF(H980&gt;Summary!$V$3,Summary!$R$46,Summary!$R$45))*(B980+30),0)</f>
        <v>4</v>
      </c>
      <c r="H980">
        <f>IF(H979&gt;Summary!$V$4,0,H979+F979)</f>
        <v>170352</v>
      </c>
      <c r="I980" s="26">
        <f>DATE(YEAR(Summary!$V$2),MONTH(Summary!$V$2),DAY(Summary!$V$2)+INT(H980/480))</f>
        <v>43944</v>
      </c>
      <c r="J980" s="27">
        <f t="shared" si="16"/>
        <v>0.6333333333333333</v>
      </c>
    </row>
    <row r="981" spans="1:10">
      <c r="A981" t="str">
        <f>VLOOKUP(Summary!M980,Summary!$P$13:$Q$24,2)</f>
        <v>B1700-lime</v>
      </c>
      <c r="B981">
        <f>ROUND(NORMINV(Summary!M982,VLOOKUP(A981,Summary!$Q$13:$S$24,3,FALSE),VLOOKUP(A981,Summary!$Q$13:$S$24,3,FALSE)/6),-1)</f>
        <v>470</v>
      </c>
      <c r="C981" t="str">
        <f>IF(AND(H981=0,C980=Summary!$P$2),Summary!$Q$2,IF(AND(H981=0,C980=Summary!$Q$2),Summary!$R$2,C980))</f>
        <v>Reed</v>
      </c>
      <c r="D981" t="str">
        <f>IF(C981=Summary!$P$26,VLOOKUP(Summary!M988,Summary!$Q$26:$R$27,2),IF('Run Data'!C981=Summary!$P$28,VLOOKUP(Summary!M988,Summary!$Q$28:$R$29,2),VLOOKUP(Summary!M988,Summary!$Q$30:$R$32,2)))</f>
        <v>Sprig 2</v>
      </c>
      <c r="E981" t="str">
        <f>VLOOKUP(Summary!M991,Summary!$P$42:$Q$43,2)</f>
        <v>86</v>
      </c>
      <c r="F981">
        <f>IF(LEFT(A981,3)="B60",20,IF(LEFT(A981,3)="B12",30,25))+B981*0.5+INT(Summary!M994*20)</f>
        <v>262</v>
      </c>
      <c r="G981">
        <f>ROUND(IF(OR(ISERROR(FIND(Summary!$P$89,CONCATENATE(C981,D981,E981))),ISERROR(FIND(Summary!$Q$89,A981))),Summary!$R$45,IF(H981&gt;Summary!$V$3,Summary!$R$46,Summary!$R$45))*(B981+30),0)</f>
        <v>60</v>
      </c>
      <c r="H981">
        <f>IF(H980&gt;Summary!$V$4,0,H980+F980)</f>
        <v>170601</v>
      </c>
      <c r="I981" s="26">
        <f>DATE(YEAR(Summary!$V$2),MONTH(Summary!$V$2),DAY(Summary!$V$2)+INT(H981/480))</f>
        <v>43945</v>
      </c>
      <c r="J981" s="27">
        <f t="shared" si="16"/>
        <v>0.47291666666666665</v>
      </c>
    </row>
    <row r="982" spans="1:10">
      <c r="A982" t="str">
        <f>VLOOKUP(Summary!M981,Summary!$P$13:$Q$24,2)</f>
        <v>B1200-plum</v>
      </c>
      <c r="B982">
        <f>ROUND(NORMINV(Summary!M983,VLOOKUP(A982,Summary!$Q$13:$S$24,3,FALSE),VLOOKUP(A982,Summary!$Q$13:$S$24,3,FALSE)/6),-1)</f>
        <v>510</v>
      </c>
      <c r="C982" t="str">
        <f>IF(AND(H982=0,C981=Summary!$P$2),Summary!$Q$2,IF(AND(H982=0,C981=Summary!$Q$2),Summary!$R$2,C981))</f>
        <v>Reed</v>
      </c>
      <c r="D982" t="str">
        <f>IF(C982=Summary!$P$26,VLOOKUP(Summary!M989,Summary!$Q$26:$R$27,2),IF('Run Data'!C982=Summary!$P$28,VLOOKUP(Summary!M989,Summary!$Q$28:$R$29,2),VLOOKUP(Summary!M989,Summary!$Q$30:$R$32,2)))</f>
        <v>Sprig 2</v>
      </c>
      <c r="E982" t="str">
        <f>VLOOKUP(Summary!M992,Summary!$P$42:$Q$43,2)</f>
        <v>86</v>
      </c>
      <c r="F982">
        <f>IF(LEFT(A982,3)="B60",20,IF(LEFT(A982,3)="B12",30,25))+B982*0.5+INT(Summary!M995*20)</f>
        <v>293</v>
      </c>
      <c r="G982">
        <f>ROUND(IF(OR(ISERROR(FIND(Summary!$P$89,CONCATENATE(C982,D982,E982))),ISERROR(FIND(Summary!$Q$89,A982))),Summary!$R$45,IF(H982&gt;Summary!$V$3,Summary!$R$46,Summary!$R$45))*(B982+30),0)</f>
        <v>5</v>
      </c>
      <c r="H982">
        <f>IF(H981&gt;Summary!$V$4,0,H981+F981)</f>
        <v>170863</v>
      </c>
      <c r="I982" s="26">
        <f>DATE(YEAR(Summary!$V$2),MONTH(Summary!$V$2),DAY(Summary!$V$2)+INT(H982/480))</f>
        <v>43945</v>
      </c>
      <c r="J982" s="27">
        <f t="shared" si="16"/>
        <v>0.65486111111111112</v>
      </c>
    </row>
    <row r="983" spans="1:10">
      <c r="A983" t="str">
        <f>VLOOKUP(Summary!M982,Summary!$P$13:$Q$24,2)</f>
        <v>B1700-fire</v>
      </c>
      <c r="B983">
        <f>ROUND(NORMINV(Summary!M984,VLOOKUP(A983,Summary!$Q$13:$S$24,3,FALSE),VLOOKUP(A983,Summary!$Q$13:$S$24,3,FALSE)/6),-1)</f>
        <v>840</v>
      </c>
      <c r="C983" t="str">
        <f>IF(AND(H983=0,C982=Summary!$P$2),Summary!$Q$2,IF(AND(H983=0,C982=Summary!$Q$2),Summary!$R$2,C982))</f>
        <v>Reed</v>
      </c>
      <c r="D983" t="str">
        <f>IF(C983=Summary!$P$26,VLOOKUP(Summary!M990,Summary!$Q$26:$R$27,2),IF('Run Data'!C983=Summary!$P$28,VLOOKUP(Summary!M990,Summary!$Q$28:$R$29,2),VLOOKUP(Summary!M990,Summary!$Q$30:$R$32,2)))</f>
        <v>Sprig 2</v>
      </c>
      <c r="E983" t="str">
        <f>VLOOKUP(Summary!M993,Summary!$P$42:$Q$43,2)</f>
        <v>86</v>
      </c>
      <c r="F983">
        <f>IF(LEFT(A983,3)="B60",20,IF(LEFT(A983,3)="B12",30,25))+B983*0.5+INT(Summary!M996*20)</f>
        <v>463</v>
      </c>
      <c r="G983">
        <f>ROUND(IF(OR(ISERROR(FIND(Summary!$P$89,CONCATENATE(C983,D983,E983))),ISERROR(FIND(Summary!$Q$89,A983))),Summary!$R$45,IF(H983&gt;Summary!$V$3,Summary!$R$46,Summary!$R$45))*(B983+30),0)</f>
        <v>104</v>
      </c>
      <c r="H983">
        <f>IF(H982&gt;Summary!$V$4,0,H982+F982)</f>
        <v>171156</v>
      </c>
      <c r="I983" s="26">
        <f>DATE(YEAR(Summary!$V$2),MONTH(Summary!$V$2),DAY(Summary!$V$2)+INT(H983/480))</f>
        <v>43946</v>
      </c>
      <c r="J983" s="27">
        <f t="shared" si="16"/>
        <v>0.52500000000000002</v>
      </c>
    </row>
    <row r="984" spans="1:10">
      <c r="A984" t="str">
        <f>VLOOKUP(Summary!M983,Summary!$P$13:$Q$24,2)</f>
        <v>B1700-plum</v>
      </c>
      <c r="B984">
        <f>ROUND(NORMINV(Summary!M985,VLOOKUP(A984,Summary!$Q$13:$S$24,3,FALSE),VLOOKUP(A984,Summary!$Q$13:$S$24,3,FALSE)/6),-1)</f>
        <v>270</v>
      </c>
      <c r="C984" t="str">
        <f>IF(AND(H984=0,C983=Summary!$P$2),Summary!$Q$2,IF(AND(H984=0,C983=Summary!$Q$2),Summary!$R$2,C983))</f>
        <v>Reed</v>
      </c>
      <c r="D984" t="str">
        <f>IF(C984=Summary!$P$26,VLOOKUP(Summary!M991,Summary!$Q$26:$R$27,2),IF('Run Data'!C984=Summary!$P$28,VLOOKUP(Summary!M991,Summary!$Q$28:$R$29,2),VLOOKUP(Summary!M991,Summary!$Q$30:$R$32,2)))</f>
        <v>Sprig 2</v>
      </c>
      <c r="E984" t="str">
        <f>VLOOKUP(Summary!M994,Summary!$P$42:$Q$43,2)</f>
        <v>86</v>
      </c>
      <c r="F984">
        <f>IF(LEFT(A984,3)="B60",20,IF(LEFT(A984,3)="B12",30,25))+B984*0.5+INT(Summary!M997*20)</f>
        <v>170</v>
      </c>
      <c r="G984">
        <f>ROUND(IF(OR(ISERROR(FIND(Summary!$P$89,CONCATENATE(C984,D984,E984))),ISERROR(FIND(Summary!$Q$89,A984))),Summary!$R$45,IF(H984&gt;Summary!$V$3,Summary!$R$46,Summary!$R$45))*(B984+30),0)</f>
        <v>36</v>
      </c>
      <c r="H984">
        <f>IF(H983&gt;Summary!$V$4,0,H983+F983)</f>
        <v>171619</v>
      </c>
      <c r="I984" s="26">
        <f>DATE(YEAR(Summary!$V$2),MONTH(Summary!$V$2),DAY(Summary!$V$2)+INT(H984/480))</f>
        <v>43947</v>
      </c>
      <c r="J984" s="27">
        <f t="shared" si="16"/>
        <v>0.5131944444444444</v>
      </c>
    </row>
    <row r="985" spans="1:10">
      <c r="A985" t="str">
        <f>VLOOKUP(Summary!M984,Summary!$P$13:$Q$24,2)</f>
        <v>B1700-plum</v>
      </c>
      <c r="B985">
        <f>ROUND(NORMINV(Summary!M986,VLOOKUP(A985,Summary!$Q$13:$S$24,3,FALSE),VLOOKUP(A985,Summary!$Q$13:$S$24,3,FALSE)/6),-1)</f>
        <v>360</v>
      </c>
      <c r="C985" t="str">
        <f>IF(AND(H985=0,C984=Summary!$P$2),Summary!$Q$2,IF(AND(H985=0,C984=Summary!$Q$2),Summary!$R$2,C984))</f>
        <v>Reed</v>
      </c>
      <c r="D985" t="str">
        <f>IF(C985=Summary!$P$26,VLOOKUP(Summary!M992,Summary!$Q$26:$R$27,2),IF('Run Data'!C985=Summary!$P$28,VLOOKUP(Summary!M992,Summary!$Q$28:$R$29,2),VLOOKUP(Summary!M992,Summary!$Q$30:$R$32,2)))</f>
        <v>Sprig 2</v>
      </c>
      <c r="E985" t="str">
        <f>VLOOKUP(Summary!M995,Summary!$P$42:$Q$43,2)</f>
        <v>86</v>
      </c>
      <c r="F985">
        <f>IF(LEFT(A985,3)="B60",20,IF(LEFT(A985,3)="B12",30,25))+B985*0.5+INT(Summary!M998*20)</f>
        <v>212</v>
      </c>
      <c r="G985">
        <f>ROUND(IF(OR(ISERROR(FIND(Summary!$P$89,CONCATENATE(C985,D985,E985))),ISERROR(FIND(Summary!$Q$89,A985))),Summary!$R$45,IF(H985&gt;Summary!$V$3,Summary!$R$46,Summary!$R$45))*(B985+30),0)</f>
        <v>47</v>
      </c>
      <c r="H985">
        <f>IF(H984&gt;Summary!$V$4,0,H984+F984)</f>
        <v>171789</v>
      </c>
      <c r="I985" s="26">
        <f>DATE(YEAR(Summary!$V$2),MONTH(Summary!$V$2),DAY(Summary!$V$2)+INT(H985/480))</f>
        <v>43947</v>
      </c>
      <c r="J985" s="27">
        <f t="shared" si="16"/>
        <v>0.63124999999999998</v>
      </c>
    </row>
    <row r="986" spans="1:10">
      <c r="A986" t="str">
        <f>VLOOKUP(Summary!M985,Summary!$P$13:$Q$24,2)</f>
        <v>B1200-plum</v>
      </c>
      <c r="B986">
        <f>ROUND(NORMINV(Summary!M987,VLOOKUP(A986,Summary!$Q$13:$S$24,3,FALSE),VLOOKUP(A986,Summary!$Q$13:$S$24,3,FALSE)/6),-1)</f>
        <v>400</v>
      </c>
      <c r="C986" t="str">
        <f>IF(AND(H986=0,C985=Summary!$P$2),Summary!$Q$2,IF(AND(H986=0,C985=Summary!$Q$2),Summary!$R$2,C985))</f>
        <v>Reed</v>
      </c>
      <c r="D986" t="str">
        <f>IF(C986=Summary!$P$26,VLOOKUP(Summary!M993,Summary!$Q$26:$R$27,2),IF('Run Data'!C986=Summary!$P$28,VLOOKUP(Summary!M993,Summary!$Q$28:$R$29,2),VLOOKUP(Summary!M993,Summary!$Q$30:$R$32,2)))</f>
        <v>Sprig 2</v>
      </c>
      <c r="E986" t="str">
        <f>VLOOKUP(Summary!M996,Summary!$P$42:$Q$43,2)</f>
        <v>87b</v>
      </c>
      <c r="F986">
        <f>IF(LEFT(A986,3)="B60",20,IF(LEFT(A986,3)="B12",30,25))+B986*0.5+INT(Summary!M999*20)</f>
        <v>238</v>
      </c>
      <c r="G986">
        <f>ROUND(IF(OR(ISERROR(FIND(Summary!$P$89,CONCATENATE(C986,D986,E986))),ISERROR(FIND(Summary!$Q$89,A986))),Summary!$R$45,IF(H986&gt;Summary!$V$3,Summary!$R$46,Summary!$R$45))*(B986+30),0)</f>
        <v>4</v>
      </c>
      <c r="H986">
        <f>IF(H985&gt;Summary!$V$4,0,H985+F985)</f>
        <v>172001</v>
      </c>
      <c r="I986" s="26">
        <f>DATE(YEAR(Summary!$V$2),MONTH(Summary!$V$2),DAY(Summary!$V$2)+INT(H986/480))</f>
        <v>43948</v>
      </c>
      <c r="J986" s="27">
        <f t="shared" si="16"/>
        <v>0.44513888888888892</v>
      </c>
    </row>
    <row r="987" spans="1:10">
      <c r="A987" t="str">
        <f>VLOOKUP(Summary!M986,Summary!$P$13:$Q$24,2)</f>
        <v>B1700-fire</v>
      </c>
      <c r="B987">
        <f>ROUND(NORMINV(Summary!M988,VLOOKUP(A987,Summary!$Q$13:$S$24,3,FALSE),VLOOKUP(A987,Summary!$Q$13:$S$24,3,FALSE)/6),-1)</f>
        <v>690</v>
      </c>
      <c r="C987" t="str">
        <f>IF(AND(H987=0,C986=Summary!$P$2),Summary!$Q$2,IF(AND(H987=0,C986=Summary!$Q$2),Summary!$R$2,C986))</f>
        <v>Reed</v>
      </c>
      <c r="D987" t="str">
        <f>IF(C987=Summary!$P$26,VLOOKUP(Summary!M994,Summary!$Q$26:$R$27,2),IF('Run Data'!C987=Summary!$P$28,VLOOKUP(Summary!M994,Summary!$Q$28:$R$29,2),VLOOKUP(Summary!M994,Summary!$Q$30:$R$32,2)))</f>
        <v>Sprig 2</v>
      </c>
      <c r="E987" t="str">
        <f>VLOOKUP(Summary!M997,Summary!$P$42:$Q$43,2)</f>
        <v>86</v>
      </c>
      <c r="F987">
        <f>IF(LEFT(A987,3)="B60",20,IF(LEFT(A987,3)="B12",30,25))+B987*0.5+INT(Summary!M1000*20)</f>
        <v>382</v>
      </c>
      <c r="G987">
        <f>ROUND(IF(OR(ISERROR(FIND(Summary!$P$89,CONCATENATE(C987,D987,E987))),ISERROR(FIND(Summary!$Q$89,A987))),Summary!$R$45,IF(H987&gt;Summary!$V$3,Summary!$R$46,Summary!$R$45))*(B987+30),0)</f>
        <v>86</v>
      </c>
      <c r="H987">
        <f>IF(H986&gt;Summary!$V$4,0,H986+F986)</f>
        <v>172239</v>
      </c>
      <c r="I987" s="26">
        <f>DATE(YEAR(Summary!$V$2),MONTH(Summary!$V$2),DAY(Summary!$V$2)+INT(H987/480))</f>
        <v>43948</v>
      </c>
      <c r="J987" s="27">
        <f t="shared" si="16"/>
        <v>0.61041666666666672</v>
      </c>
    </row>
    <row r="988" spans="1:10">
      <c r="A988" t="str">
        <f>VLOOKUP(Summary!M987,Summary!$P$13:$Q$24,2)</f>
        <v>B1200-plum</v>
      </c>
      <c r="B988">
        <f>ROUND(NORMINV(Summary!M989,VLOOKUP(A988,Summary!$Q$13:$S$24,3,FALSE),VLOOKUP(A988,Summary!$Q$13:$S$24,3,FALSE)/6),-1)</f>
        <v>450</v>
      </c>
      <c r="C988" t="str">
        <f>IF(AND(H988=0,C987=Summary!$P$2),Summary!$Q$2,IF(AND(H988=0,C987=Summary!$Q$2),Summary!$R$2,C987))</f>
        <v>Reed</v>
      </c>
      <c r="D988" t="str">
        <f>IF(C988=Summary!$P$26,VLOOKUP(Summary!M995,Summary!$Q$26:$R$27,2),IF('Run Data'!C988=Summary!$P$28,VLOOKUP(Summary!M995,Summary!$Q$28:$R$29,2),VLOOKUP(Summary!M995,Summary!$Q$30:$R$32,2)))</f>
        <v>Sprig 2</v>
      </c>
      <c r="E988" t="str">
        <f>VLOOKUP(Summary!M998,Summary!$P$42:$Q$43,2)</f>
        <v>86</v>
      </c>
      <c r="F988">
        <f>IF(LEFT(A988,3)="B60",20,IF(LEFT(A988,3)="B12",30,25))+B988*0.5+INT(Summary!M1001*20)</f>
        <v>272</v>
      </c>
      <c r="G988">
        <f>ROUND(IF(OR(ISERROR(FIND(Summary!$P$89,CONCATENATE(C988,D988,E988))),ISERROR(FIND(Summary!$Q$89,A988))),Summary!$R$45,IF(H988&gt;Summary!$V$3,Summary!$R$46,Summary!$R$45))*(B988+30),0)</f>
        <v>5</v>
      </c>
      <c r="H988">
        <f>IF(H987&gt;Summary!$V$4,0,H987+F987)</f>
        <v>172621</v>
      </c>
      <c r="I988" s="26">
        <f>DATE(YEAR(Summary!$V$2),MONTH(Summary!$V$2),DAY(Summary!$V$2)+INT(H988/480))</f>
        <v>43949</v>
      </c>
      <c r="J988" s="27">
        <f t="shared" si="16"/>
        <v>0.54236111111111118</v>
      </c>
    </row>
    <row r="989" spans="1:10">
      <c r="A989" t="str">
        <f>VLOOKUP(Summary!M988,Summary!$P$13:$Q$24,2)</f>
        <v>B1200-plum</v>
      </c>
      <c r="B989">
        <f>ROUND(NORMINV(Summary!M990,VLOOKUP(A989,Summary!$Q$13:$S$24,3,FALSE),VLOOKUP(A989,Summary!$Q$13:$S$24,3,FALSE)/6),-1)</f>
        <v>420</v>
      </c>
      <c r="C989" t="str">
        <f>IF(AND(H989=0,C988=Summary!$P$2),Summary!$Q$2,IF(AND(H989=0,C988=Summary!$Q$2),Summary!$R$2,C988))</f>
        <v>Reed</v>
      </c>
      <c r="D989" t="str">
        <f>IF(C989=Summary!$P$26,VLOOKUP(Summary!M996,Summary!$Q$26:$R$27,2),IF('Run Data'!C989=Summary!$P$28,VLOOKUP(Summary!M996,Summary!$Q$28:$R$29,2),VLOOKUP(Summary!M996,Summary!$Q$30:$R$32,2)))</f>
        <v>Sprig 4</v>
      </c>
      <c r="E989" t="str">
        <f>VLOOKUP(Summary!M999,Summary!$P$42:$Q$43,2)</f>
        <v>86</v>
      </c>
      <c r="F989">
        <f>IF(LEFT(A989,3)="B60",20,IF(LEFT(A989,3)="B12",30,25))+B989*0.5+INT(Summary!M1002*20)</f>
        <v>240</v>
      </c>
      <c r="G989">
        <f>ROUND(IF(OR(ISERROR(FIND(Summary!$P$89,CONCATENATE(C989,D989,E989))),ISERROR(FIND(Summary!$Q$89,A989))),Summary!$R$45,IF(H989&gt;Summary!$V$3,Summary!$R$46,Summary!$R$45))*(B989+30),0)</f>
        <v>5</v>
      </c>
      <c r="H989">
        <f>IF(H988&gt;Summary!$V$4,0,H988+F988)</f>
        <v>172893</v>
      </c>
      <c r="I989" s="26">
        <f>DATE(YEAR(Summary!$V$2),MONTH(Summary!$V$2),DAY(Summary!$V$2)+INT(H989/480))</f>
        <v>43950</v>
      </c>
      <c r="J989" s="27">
        <f t="shared" si="16"/>
        <v>0.3979166666666667</v>
      </c>
    </row>
    <row r="990" spans="1:10">
      <c r="A990" t="str">
        <f>VLOOKUP(Summary!M989,Summary!$P$13:$Q$24,2)</f>
        <v>B1200-fire</v>
      </c>
      <c r="B990">
        <f>ROUND(NORMINV(Summary!M991,VLOOKUP(A990,Summary!$Q$13:$S$24,3,FALSE),VLOOKUP(A990,Summary!$Q$13:$S$24,3,FALSE)/6),-1)</f>
        <v>1210</v>
      </c>
      <c r="C990" t="str">
        <f>IF(AND(H990=0,C989=Summary!$P$2),Summary!$Q$2,IF(AND(H990=0,C989=Summary!$Q$2),Summary!$R$2,C989))</f>
        <v>Reed</v>
      </c>
      <c r="D990" t="str">
        <f>IF(C990=Summary!$P$26,VLOOKUP(Summary!M997,Summary!$Q$26:$R$27,2),IF('Run Data'!C990=Summary!$P$28,VLOOKUP(Summary!M997,Summary!$Q$28:$R$29,2),VLOOKUP(Summary!M997,Summary!$Q$30:$R$32,2)))</f>
        <v>Sprig 2</v>
      </c>
      <c r="E990" t="str">
        <f>VLOOKUP(Summary!M1000,Summary!$P$42:$Q$43,2)</f>
        <v>86</v>
      </c>
      <c r="F990">
        <f>IF(LEFT(A990,3)="B60",20,IF(LEFT(A990,3)="B12",30,25))+B990*0.5+INT(Summary!M1003*20)</f>
        <v>635</v>
      </c>
      <c r="G990">
        <f>ROUND(IF(OR(ISERROR(FIND(Summary!$P$89,CONCATENATE(C990,D990,E990))),ISERROR(FIND(Summary!$Q$89,A990))),Summary!$R$45,IF(H990&gt;Summary!$V$3,Summary!$R$46,Summary!$R$45))*(B990+30),0)</f>
        <v>12</v>
      </c>
      <c r="H990">
        <f>IF(H989&gt;Summary!$V$4,0,H989+F989)</f>
        <v>173133</v>
      </c>
      <c r="I990" s="26">
        <f>DATE(YEAR(Summary!$V$2),MONTH(Summary!$V$2),DAY(Summary!$V$2)+INT(H990/480))</f>
        <v>43950</v>
      </c>
      <c r="J990" s="27">
        <f t="shared" si="16"/>
        <v>0.56458333333333333</v>
      </c>
    </row>
    <row r="991" spans="1:10">
      <c r="A991" t="str">
        <f>VLOOKUP(Summary!M990,Summary!$P$13:$Q$24,2)</f>
        <v>B1200-sky</v>
      </c>
      <c r="B991">
        <f>ROUND(NORMINV(Summary!M992,VLOOKUP(A991,Summary!$Q$13:$S$24,3,FALSE),VLOOKUP(A991,Summary!$Q$13:$S$24,3,FALSE)/6),-1)</f>
        <v>1170</v>
      </c>
      <c r="C991" t="str">
        <f>IF(AND(H991=0,C990=Summary!$P$2),Summary!$Q$2,IF(AND(H991=0,C990=Summary!$Q$2),Summary!$R$2,C990))</f>
        <v>Reed</v>
      </c>
      <c r="D991" t="str">
        <f>IF(C991=Summary!$P$26,VLOOKUP(Summary!M998,Summary!$Q$26:$R$27,2),IF('Run Data'!C991=Summary!$P$28,VLOOKUP(Summary!M998,Summary!$Q$28:$R$29,2),VLOOKUP(Summary!M998,Summary!$Q$30:$R$32,2)))</f>
        <v>Sprig 2</v>
      </c>
      <c r="E991" t="str">
        <f>VLOOKUP(Summary!M1001,Summary!$P$42:$Q$43,2)</f>
        <v>87b</v>
      </c>
      <c r="F991">
        <f>IF(LEFT(A991,3)="B60",20,IF(LEFT(A991,3)="B12",30,25))+B991*0.5+INT(Summary!M1004*20)</f>
        <v>628</v>
      </c>
      <c r="G991">
        <f>ROUND(IF(OR(ISERROR(FIND(Summary!$P$89,CONCATENATE(C991,D991,E991))),ISERROR(FIND(Summary!$Q$89,A991))),Summary!$R$45,IF(H991&gt;Summary!$V$3,Summary!$R$46,Summary!$R$45))*(B991+30),0)</f>
        <v>12</v>
      </c>
      <c r="H991">
        <f>IF(H990&gt;Summary!$V$4,0,H990+F990)</f>
        <v>173768</v>
      </c>
      <c r="I991" s="26">
        <f>DATE(YEAR(Summary!$V$2),MONTH(Summary!$V$2),DAY(Summary!$V$2)+INT(H991/480))</f>
        <v>43952</v>
      </c>
      <c r="J991" s="27">
        <f t="shared" si="16"/>
        <v>0.33888888888888885</v>
      </c>
    </row>
    <row r="992" spans="1:10">
      <c r="A992" t="str">
        <f>VLOOKUP(Summary!M991,Summary!$P$13:$Q$24,2)</f>
        <v>B1200-fire</v>
      </c>
      <c r="B992">
        <f>ROUND(NORMINV(Summary!M993,VLOOKUP(A992,Summary!$Q$13:$S$24,3,FALSE),VLOOKUP(A992,Summary!$Q$13:$S$24,3,FALSE)/6),-1)</f>
        <v>1310</v>
      </c>
      <c r="C992" t="str">
        <f>IF(AND(H992=0,C991=Summary!$P$2),Summary!$Q$2,IF(AND(H992=0,C991=Summary!$Q$2),Summary!$R$2,C991))</f>
        <v>Reed</v>
      </c>
      <c r="D992" t="str">
        <f>IF(C992=Summary!$P$26,VLOOKUP(Summary!M999,Summary!$Q$26:$R$27,2),IF('Run Data'!C992=Summary!$P$28,VLOOKUP(Summary!M999,Summary!$Q$28:$R$29,2),VLOOKUP(Summary!M999,Summary!$Q$30:$R$32,2)))</f>
        <v>Sprig 2</v>
      </c>
      <c r="E992" t="str">
        <f>VLOOKUP(Summary!M1002,Summary!$P$42:$Q$43,2)</f>
        <v>86</v>
      </c>
      <c r="F992">
        <f>IF(LEFT(A992,3)="B60",20,IF(LEFT(A992,3)="B12",30,25))+B992*0.5+INT(Summary!M1005*20)</f>
        <v>689</v>
      </c>
      <c r="G992">
        <f>ROUND(IF(OR(ISERROR(FIND(Summary!$P$89,CONCATENATE(C992,D992,E992))),ISERROR(FIND(Summary!$Q$89,A992))),Summary!$R$45,IF(H992&gt;Summary!$V$3,Summary!$R$46,Summary!$R$45))*(B992+30),0)</f>
        <v>13</v>
      </c>
      <c r="H992">
        <f>IF(H991&gt;Summary!$V$4,0,H991+F991)</f>
        <v>174396</v>
      </c>
      <c r="I992" s="26">
        <f>DATE(YEAR(Summary!$V$2),MONTH(Summary!$V$2),DAY(Summary!$V$2)+INT(H992/480))</f>
        <v>43953</v>
      </c>
      <c r="J992" s="27">
        <f t="shared" si="16"/>
        <v>0.44166666666666665</v>
      </c>
    </row>
    <row r="993" spans="1:10">
      <c r="A993" t="str">
        <f>VLOOKUP(Summary!M992,Summary!$P$13:$Q$24,2)</f>
        <v>B1200-sky</v>
      </c>
      <c r="B993">
        <f>ROUND(NORMINV(Summary!M994,VLOOKUP(A993,Summary!$Q$13:$S$24,3,FALSE),VLOOKUP(A993,Summary!$Q$13:$S$24,3,FALSE)/6),-1)</f>
        <v>960</v>
      </c>
      <c r="C993" t="str">
        <f>IF(AND(H993=0,C992=Summary!$P$2),Summary!$Q$2,IF(AND(H993=0,C992=Summary!$Q$2),Summary!$R$2,C992))</f>
        <v>Reed</v>
      </c>
      <c r="D993" t="str">
        <f>IF(C993=Summary!$P$26,VLOOKUP(Summary!M1000,Summary!$Q$26:$R$27,2),IF('Run Data'!C993=Summary!$P$28,VLOOKUP(Summary!M1000,Summary!$Q$28:$R$29,2),VLOOKUP(Summary!M1000,Summary!$Q$30:$R$32,2)))</f>
        <v>Sprig 2</v>
      </c>
      <c r="E993" t="str">
        <f>VLOOKUP(Summary!M1003,Summary!$P$42:$Q$43,2)</f>
        <v>86</v>
      </c>
      <c r="F993">
        <f>IF(LEFT(A993,3)="B60",20,IF(LEFT(A993,3)="B12",30,25))+B993*0.5+INT(Summary!M1006*20)</f>
        <v>522</v>
      </c>
      <c r="G993">
        <f>ROUND(IF(OR(ISERROR(FIND(Summary!$P$89,CONCATENATE(C993,D993,E993))),ISERROR(FIND(Summary!$Q$89,A993))),Summary!$R$45,IF(H993&gt;Summary!$V$3,Summary!$R$46,Summary!$R$45))*(B993+30),0)</f>
        <v>10</v>
      </c>
      <c r="H993">
        <f>IF(H992&gt;Summary!$V$4,0,H992+F992)</f>
        <v>175085</v>
      </c>
      <c r="I993" s="26">
        <f>DATE(YEAR(Summary!$V$2),MONTH(Summary!$V$2),DAY(Summary!$V$2)+INT(H993/480))</f>
        <v>43954</v>
      </c>
      <c r="J993" s="27">
        <f t="shared" si="16"/>
        <v>0.58680555555555558</v>
      </c>
    </row>
    <row r="994" spans="1:10">
      <c r="A994" t="str">
        <f>VLOOKUP(Summary!M993,Summary!$P$13:$Q$24,2)</f>
        <v>B1700-plum</v>
      </c>
      <c r="B994">
        <f>ROUND(NORMINV(Summary!M995,VLOOKUP(A994,Summary!$Q$13:$S$24,3,FALSE),VLOOKUP(A994,Summary!$Q$13:$S$24,3,FALSE)/6),-1)</f>
        <v>290</v>
      </c>
      <c r="C994" t="str">
        <f>IF(AND(H994=0,C993=Summary!$P$2),Summary!$Q$2,IF(AND(H994=0,C993=Summary!$Q$2),Summary!$R$2,C993))</f>
        <v>Reed</v>
      </c>
      <c r="D994" t="str">
        <f>IF(C994=Summary!$P$26,VLOOKUP(Summary!M1001,Summary!$Q$26:$R$27,2),IF('Run Data'!C994=Summary!$P$28,VLOOKUP(Summary!M1001,Summary!$Q$28:$R$29,2),VLOOKUP(Summary!M1001,Summary!$Q$30:$R$32,2)))</f>
        <v>Sprig 4</v>
      </c>
      <c r="E994" t="str">
        <f>VLOOKUP(Summary!M1004,Summary!$P$42:$Q$43,2)</f>
        <v>86</v>
      </c>
      <c r="F994">
        <f>IF(LEFT(A994,3)="B60",20,IF(LEFT(A994,3)="B12",30,25))+B994*0.5+INT(Summary!M1007*20)</f>
        <v>176</v>
      </c>
      <c r="G994">
        <f>ROUND(IF(OR(ISERROR(FIND(Summary!$P$89,CONCATENATE(C994,D994,E994))),ISERROR(FIND(Summary!$Q$89,A994))),Summary!$R$45,IF(H994&gt;Summary!$V$3,Summary!$R$46,Summary!$R$45))*(B994+30),0)</f>
        <v>38</v>
      </c>
      <c r="H994">
        <f>IF(H993&gt;Summary!$V$4,0,H993+F993)</f>
        <v>175607</v>
      </c>
      <c r="I994" s="26">
        <f>DATE(YEAR(Summary!$V$2),MONTH(Summary!$V$2),DAY(Summary!$V$2)+INT(H994/480))</f>
        <v>43955</v>
      </c>
      <c r="J994" s="27">
        <f t="shared" si="16"/>
        <v>0.61597222222222225</v>
      </c>
    </row>
    <row r="995" spans="1:10">
      <c r="A995" t="str">
        <f>VLOOKUP(Summary!M994,Summary!$P$13:$Q$24,2)</f>
        <v>B600-fire</v>
      </c>
      <c r="B995">
        <f>ROUND(NORMINV(Summary!M996,VLOOKUP(A995,Summary!$Q$13:$S$24,3,FALSE),VLOOKUP(A995,Summary!$Q$13:$S$24,3,FALSE)/6),-1)</f>
        <v>500</v>
      </c>
      <c r="C995" t="str">
        <f>IF(AND(H995=0,C994=Summary!$P$2),Summary!$Q$2,IF(AND(H995=0,C994=Summary!$Q$2),Summary!$R$2,C994))</f>
        <v>Reed</v>
      </c>
      <c r="D995" t="str">
        <f>IF(C995=Summary!$P$26,VLOOKUP(Summary!M1002,Summary!$Q$26:$R$27,2),IF('Run Data'!C995=Summary!$P$28,VLOOKUP(Summary!M1002,Summary!$Q$28:$R$29,2),VLOOKUP(Summary!M1002,Summary!$Q$30:$R$32,2)))</f>
        <v>Sprig 2</v>
      </c>
      <c r="E995" t="str">
        <f>VLOOKUP(Summary!M1005,Summary!$P$42:$Q$43,2)</f>
        <v>86</v>
      </c>
      <c r="F995">
        <f>IF(LEFT(A995,3)="B60",20,IF(LEFT(A995,3)="B12",30,25))+B995*0.5+INT(Summary!M1008*20)</f>
        <v>284</v>
      </c>
      <c r="G995">
        <f>ROUND(IF(OR(ISERROR(FIND(Summary!$P$89,CONCATENATE(C995,D995,E995))),ISERROR(FIND(Summary!$Q$89,A995))),Summary!$R$45,IF(H995&gt;Summary!$V$3,Summary!$R$46,Summary!$R$45))*(B995+30),0)</f>
        <v>5</v>
      </c>
      <c r="H995">
        <f>IF(H994&gt;Summary!$V$4,0,H994+F994)</f>
        <v>175783</v>
      </c>
      <c r="I995" s="26">
        <f>DATE(YEAR(Summary!$V$2),MONTH(Summary!$V$2),DAY(Summary!$V$2)+INT(H995/480))</f>
        <v>43956</v>
      </c>
      <c r="J995" s="27">
        <f t="shared" si="16"/>
        <v>0.40486111111111112</v>
      </c>
    </row>
    <row r="996" spans="1:10">
      <c r="A996" t="str">
        <f>VLOOKUP(Summary!M995,Summary!$P$13:$Q$24,2)</f>
        <v>B1200-sky</v>
      </c>
      <c r="B996">
        <f>ROUND(NORMINV(Summary!M997,VLOOKUP(A996,Summary!$Q$13:$S$24,3,FALSE),VLOOKUP(A996,Summary!$Q$13:$S$24,3,FALSE)/6),-1)</f>
        <v>1220</v>
      </c>
      <c r="C996" t="str">
        <f>IF(AND(H996=0,C995=Summary!$P$2),Summary!$Q$2,IF(AND(H996=0,C995=Summary!$Q$2),Summary!$R$2,C995))</f>
        <v>Reed</v>
      </c>
      <c r="D996" t="str">
        <f>IF(C996=Summary!$P$26,VLOOKUP(Summary!M1003,Summary!$Q$26:$R$27,2),IF('Run Data'!C996=Summary!$P$28,VLOOKUP(Summary!M1003,Summary!$Q$28:$R$29,2),VLOOKUP(Summary!M1003,Summary!$Q$30:$R$32,2)))</f>
        <v>Sprig 2</v>
      </c>
      <c r="E996" t="str">
        <f>VLOOKUP(Summary!M1006,Summary!$P$42:$Q$43,2)</f>
        <v>86</v>
      </c>
      <c r="F996">
        <f>IF(LEFT(A996,3)="B60",20,IF(LEFT(A996,3)="B12",30,25))+B996*0.5+INT(Summary!M1009*20)</f>
        <v>645</v>
      </c>
      <c r="G996">
        <f>ROUND(IF(OR(ISERROR(FIND(Summary!$P$89,CONCATENATE(C996,D996,E996))),ISERROR(FIND(Summary!$Q$89,A996))),Summary!$R$45,IF(H996&gt;Summary!$V$3,Summary!$R$46,Summary!$R$45))*(B996+30),0)</f>
        <v>13</v>
      </c>
      <c r="H996">
        <f>IF(H995&gt;Summary!$V$4,0,H995+F995)</f>
        <v>176067</v>
      </c>
      <c r="I996" s="26">
        <f>DATE(YEAR(Summary!$V$2),MONTH(Summary!$V$2),DAY(Summary!$V$2)+INT(H996/480))</f>
        <v>43956</v>
      </c>
      <c r="J996" s="27">
        <f t="shared" si="16"/>
        <v>0.6020833333333333</v>
      </c>
    </row>
    <row r="997" spans="1:10">
      <c r="A997" t="str">
        <f>VLOOKUP(Summary!M996,Summary!$P$13:$Q$24,2)</f>
        <v>B1700-lime</v>
      </c>
      <c r="B997">
        <f>ROUND(NORMINV(Summary!M998,VLOOKUP(A997,Summary!$Q$13:$S$24,3,FALSE),VLOOKUP(A997,Summary!$Q$13:$S$24,3,FALSE)/6),-1)</f>
        <v>370</v>
      </c>
      <c r="C997" t="str">
        <f>IF(AND(H997=0,C996=Summary!$P$2),Summary!$Q$2,IF(AND(H997=0,C996=Summary!$Q$2),Summary!$R$2,C996))</f>
        <v>Reed</v>
      </c>
      <c r="D997" t="str">
        <f>IF(C997=Summary!$P$26,VLOOKUP(Summary!M1004,Summary!$Q$26:$R$27,2),IF('Run Data'!C997=Summary!$P$28,VLOOKUP(Summary!M1004,Summary!$Q$28:$R$29,2),VLOOKUP(Summary!M1004,Summary!$Q$30:$R$32,2)))</f>
        <v>Sprig 2</v>
      </c>
      <c r="E997" t="str">
        <f>VLOOKUP(Summary!M1007,Summary!$P$42:$Q$43,2)</f>
        <v>86</v>
      </c>
      <c r="F997">
        <f>IF(LEFT(A997,3)="B60",20,IF(LEFT(A997,3)="B12",30,25))+B997*0.5+INT(Summary!M1010*20)</f>
        <v>229</v>
      </c>
      <c r="G997">
        <f>ROUND(IF(OR(ISERROR(FIND(Summary!$P$89,CONCATENATE(C997,D997,E997))),ISERROR(FIND(Summary!$Q$89,A997))),Summary!$R$45,IF(H997&gt;Summary!$V$3,Summary!$R$46,Summary!$R$45))*(B997+30),0)</f>
        <v>48</v>
      </c>
      <c r="H997">
        <f>IF(H996&gt;Summary!$V$4,0,H996+F996)</f>
        <v>176712</v>
      </c>
      <c r="I997" s="26">
        <f>DATE(YEAR(Summary!$V$2),MONTH(Summary!$V$2),DAY(Summary!$V$2)+INT(H997/480))</f>
        <v>43958</v>
      </c>
      <c r="J997" s="27">
        <f t="shared" si="16"/>
        <v>0.3833333333333333</v>
      </c>
    </row>
    <row r="998" spans="1:10">
      <c r="A998" t="str">
        <f>VLOOKUP(Summary!M997,Summary!$P$13:$Q$24,2)</f>
        <v>B1200-fire</v>
      </c>
      <c r="B998">
        <f>ROUND(NORMINV(Summary!M999,VLOOKUP(A998,Summary!$Q$13:$S$24,3,FALSE),VLOOKUP(A998,Summary!$Q$13:$S$24,3,FALSE)/6),-1)</f>
        <v>1170</v>
      </c>
      <c r="C998" t="str">
        <f>IF(AND(H998=0,C997=Summary!$P$2),Summary!$Q$2,IF(AND(H998=0,C997=Summary!$Q$2),Summary!$R$2,C997))</f>
        <v>Reed</v>
      </c>
      <c r="D998" t="str">
        <f>IF(C998=Summary!$P$26,VLOOKUP(Summary!M1005,Summary!$Q$26:$R$27,2),IF('Run Data'!C998=Summary!$P$28,VLOOKUP(Summary!M1005,Summary!$Q$28:$R$29,2),VLOOKUP(Summary!M1005,Summary!$Q$30:$R$32,2)))</f>
        <v>Sprig 2</v>
      </c>
      <c r="E998" t="str">
        <f>VLOOKUP(Summary!M1008,Summary!$P$42:$Q$43,2)</f>
        <v>86</v>
      </c>
      <c r="F998">
        <f>IF(LEFT(A998,3)="B60",20,IF(LEFT(A998,3)="B12",30,25))+B998*0.5+INT(Summary!M1011*20)</f>
        <v>630</v>
      </c>
      <c r="G998">
        <f>ROUND(IF(OR(ISERROR(FIND(Summary!$P$89,CONCATENATE(C998,D998,E998))),ISERROR(FIND(Summary!$Q$89,A998))),Summary!$R$45,IF(H998&gt;Summary!$V$3,Summary!$R$46,Summary!$R$45))*(B998+30),0)</f>
        <v>12</v>
      </c>
      <c r="H998">
        <f>IF(H997&gt;Summary!$V$4,0,H997+F997)</f>
        <v>176941</v>
      </c>
      <c r="I998" s="26">
        <f>DATE(YEAR(Summary!$V$2),MONTH(Summary!$V$2),DAY(Summary!$V$2)+INT(H998/480))</f>
        <v>43958</v>
      </c>
      <c r="J998" s="27">
        <f t="shared" si="16"/>
        <v>0.54236111111111118</v>
      </c>
    </row>
    <row r="999" spans="1:10">
      <c r="A999" t="str">
        <f>VLOOKUP(Summary!M998,Summary!$P$13:$Q$24,2)</f>
        <v>B1200-sky</v>
      </c>
      <c r="B999">
        <f>ROUND(NORMINV(Summary!M1000,VLOOKUP(A999,Summary!$Q$13:$S$24,3,FALSE),VLOOKUP(A999,Summary!$Q$13:$S$24,3,FALSE)/6),-1)</f>
        <v>1250</v>
      </c>
      <c r="C999" t="str">
        <f>IF(AND(H999=0,C998=Summary!$P$2),Summary!$Q$2,IF(AND(H999=0,C998=Summary!$Q$2),Summary!$R$2,C998))</f>
        <v>Reed</v>
      </c>
      <c r="D999" t="str">
        <f>IF(C999=Summary!$P$26,VLOOKUP(Summary!M1006,Summary!$Q$26:$R$27,2),IF('Run Data'!C999=Summary!$P$28,VLOOKUP(Summary!M1006,Summary!$Q$28:$R$29,2),VLOOKUP(Summary!M1006,Summary!$Q$30:$R$32,2)))</f>
        <v>Sprig 2</v>
      </c>
      <c r="E999" t="str">
        <f>VLOOKUP(Summary!M1009,Summary!$P$42:$Q$43,2)</f>
        <v>86</v>
      </c>
      <c r="F999">
        <f>IF(LEFT(A999,3)="B60",20,IF(LEFT(A999,3)="B12",30,25))+B999*0.5+INT(Summary!M1012*20)</f>
        <v>667</v>
      </c>
      <c r="G999">
        <f>ROUND(IF(OR(ISERROR(FIND(Summary!$P$89,CONCATENATE(C999,D999,E999))),ISERROR(FIND(Summary!$Q$89,A999))),Summary!$R$45,IF(H999&gt;Summary!$V$3,Summary!$R$46,Summary!$R$45))*(B999+30),0)</f>
        <v>13</v>
      </c>
      <c r="H999">
        <f>IF(H998&gt;Summary!$V$4,0,H998+F998)</f>
        <v>177571</v>
      </c>
      <c r="I999" s="26">
        <f>DATE(YEAR(Summary!$V$2),MONTH(Summary!$V$2),DAY(Summary!$V$2)+INT(H999/480))</f>
        <v>43959</v>
      </c>
      <c r="J999" s="27">
        <f t="shared" si="16"/>
        <v>0.64652777777777781</v>
      </c>
    </row>
    <row r="1000" spans="1:10">
      <c r="A1000" t="str">
        <f>VLOOKUP(Summary!M999,Summary!$P$13:$Q$24,2)</f>
        <v>B1200-sky</v>
      </c>
      <c r="B1000">
        <f>ROUND(NORMINV(Summary!M1001,VLOOKUP(A1000,Summary!$Q$13:$S$24,3,FALSE),VLOOKUP(A1000,Summary!$Q$13:$S$24,3,FALSE)/6),-1)</f>
        <v>1450</v>
      </c>
      <c r="C1000" t="str">
        <f>IF(AND(H1000=0,C999=Summary!$P$2),Summary!$Q$2,IF(AND(H1000=0,C999=Summary!$Q$2),Summary!$R$2,C999))</f>
        <v>Reed</v>
      </c>
      <c r="D1000" t="str">
        <f>IF(C1000=Summary!$P$26,VLOOKUP(Summary!M1007,Summary!$Q$26:$R$27,2),IF('Run Data'!C1000=Summary!$P$28,VLOOKUP(Summary!M1007,Summary!$Q$28:$R$29,2),VLOOKUP(Summary!M1007,Summary!$Q$30:$R$32,2)))</f>
        <v>Sprig 2</v>
      </c>
      <c r="E1000" t="str">
        <f>VLOOKUP(Summary!M1010,Summary!$P$42:$Q$43,2)</f>
        <v>87b</v>
      </c>
      <c r="F1000">
        <f>IF(LEFT(A1000,3)="B60",20,IF(LEFT(A1000,3)="B12",30,25))+B1000*0.5+INT(Summary!M1013*20)</f>
        <v>761</v>
      </c>
      <c r="G1000">
        <f>ROUND(IF(OR(ISERROR(FIND(Summary!$P$89,CONCATENATE(C1000,D1000,E1000))),ISERROR(FIND(Summary!$Q$89,A1000))),Summary!$R$45,IF(H1000&gt;Summary!$V$3,Summary!$R$46,Summary!$R$45))*(B1000+30),0)</f>
        <v>15</v>
      </c>
      <c r="H1000">
        <f>IF(H999&gt;Summary!$V$4,0,H999+F999)</f>
        <v>178238</v>
      </c>
      <c r="I1000" s="26">
        <f>DATE(YEAR(Summary!$V$2),MONTH(Summary!$V$2),DAY(Summary!$V$2)+INT(H1000/480))</f>
        <v>43961</v>
      </c>
      <c r="J1000" s="27">
        <f t="shared" si="16"/>
        <v>0.44305555555555554</v>
      </c>
    </row>
    <row r="1001" spans="1:10">
      <c r="A1001" t="str">
        <f>VLOOKUP(Summary!M1000,Summary!$P$13:$Q$24,2)</f>
        <v>B1200-lime</v>
      </c>
      <c r="B1001">
        <f>ROUND(NORMINV(Summary!M1002,VLOOKUP(A1001,Summary!$Q$13:$S$24,3,FALSE),VLOOKUP(A1001,Summary!$Q$13:$S$24,3,FALSE)/6),-1)</f>
        <v>580</v>
      </c>
      <c r="C1001" t="str">
        <f>IF(AND(H1001=0,C1000=Summary!$P$2),Summary!$Q$2,IF(AND(H1001=0,C1000=Summary!$Q$2),Summary!$R$2,C1000))</f>
        <v>Reed</v>
      </c>
      <c r="D1001" t="str">
        <f>IF(C1001=Summary!$P$26,VLOOKUP(Summary!M1008,Summary!$Q$26:$R$27,2),IF('Run Data'!C1001=Summary!$P$28,VLOOKUP(Summary!M1008,Summary!$Q$28:$R$29,2),VLOOKUP(Summary!M1008,Summary!$Q$30:$R$32,2)))</f>
        <v>Sprig 2</v>
      </c>
      <c r="E1001" t="str">
        <f>VLOOKUP(Summary!M1011,Summary!$P$42:$Q$43,2)</f>
        <v>86</v>
      </c>
      <c r="F1001">
        <f>IF(LEFT(A1001,3)="B60",20,IF(LEFT(A1001,3)="B12",30,25))+B1001*0.5+INT(Summary!M1014*20)</f>
        <v>335</v>
      </c>
      <c r="G1001">
        <f>ROUND(IF(OR(ISERROR(FIND(Summary!$P$89,CONCATENATE(C1001,D1001,E1001))),ISERROR(FIND(Summary!$Q$89,A1001))),Summary!$R$45,IF(H1001&gt;Summary!$V$3,Summary!$R$46,Summary!$R$45))*(B1001+30),0)</f>
        <v>6</v>
      </c>
      <c r="H1001">
        <f>IF(H1000&gt;Summary!$V$4,0,H1000+F1000)</f>
        <v>178999</v>
      </c>
      <c r="I1001" s="26">
        <f>DATE(YEAR(Summary!$V$2),MONTH(Summary!$V$2),DAY(Summary!$V$2)+INT(H1001/480))</f>
        <v>43962</v>
      </c>
      <c r="J1001" s="27">
        <f t="shared" si="16"/>
        <v>0.6381944444444444</v>
      </c>
    </row>
    <row r="1002" spans="1:10">
      <c r="A1002" t="str">
        <f>VLOOKUP(Summary!M1001,Summary!$P$13:$Q$24,2)</f>
        <v>B1700-fire</v>
      </c>
      <c r="B1002">
        <f>ROUND(NORMINV(Summary!M1003,VLOOKUP(A1002,Summary!$Q$13:$S$24,3,FALSE),VLOOKUP(A1002,Summary!$Q$13:$S$24,3,FALSE)/6),-1)</f>
        <v>490</v>
      </c>
      <c r="C1002" t="str">
        <f>IF(AND(H1002=0,C1001=Summary!$P$2),Summary!$Q$2,IF(AND(H1002=0,C1001=Summary!$Q$2),Summary!$R$2,C1001))</f>
        <v>Reed</v>
      </c>
      <c r="D1002" t="str">
        <f>IF(C1002=Summary!$P$26,VLOOKUP(Summary!M1009,Summary!$Q$26:$R$27,2),IF('Run Data'!C1002=Summary!$P$28,VLOOKUP(Summary!M1009,Summary!$Q$28:$R$29,2),VLOOKUP(Summary!M1009,Summary!$Q$30:$R$32,2)))</f>
        <v>Sprig 2</v>
      </c>
      <c r="E1002" t="str">
        <f>VLOOKUP(Summary!M1012,Summary!$P$42:$Q$43,2)</f>
        <v>86</v>
      </c>
      <c r="F1002">
        <f>IF(LEFT(A1002,3)="B60",20,IF(LEFT(A1002,3)="B12",30,25))+B1002*0.5+INT(Summary!M1015*20)</f>
        <v>275</v>
      </c>
      <c r="G1002">
        <f>ROUND(IF(OR(ISERROR(FIND(Summary!$P$89,CONCATENATE(C1002,D1002,E1002))),ISERROR(FIND(Summary!$Q$89,A1002))),Summary!$R$45,IF(H1002&gt;Summary!$V$3,Summary!$R$46,Summary!$R$45))*(B1002+30),0)</f>
        <v>62</v>
      </c>
      <c r="H1002">
        <f>IF(H1001&gt;Summary!$V$4,0,H1001+F1001)</f>
        <v>179334</v>
      </c>
      <c r="I1002" s="26">
        <f>DATE(YEAR(Summary!$V$2),MONTH(Summary!$V$2),DAY(Summary!$V$2)+INT(H1002/480))</f>
        <v>43963</v>
      </c>
      <c r="J1002" s="27">
        <f t="shared" si="16"/>
        <v>0.53749999999999998</v>
      </c>
    </row>
    <row r="1003" spans="1:10">
      <c r="A1003" t="str">
        <f>VLOOKUP(Summary!M1002,Summary!$P$13:$Q$24,2)</f>
        <v>B600-plum</v>
      </c>
      <c r="B1003">
        <f>ROUND(NORMINV(Summary!M1004,VLOOKUP(A1003,Summary!$Q$13:$S$24,3,FALSE),VLOOKUP(A1003,Summary!$Q$13:$S$24,3,FALSE)/6),-1)</f>
        <v>210</v>
      </c>
      <c r="C1003" t="str">
        <f>IF(AND(H1003=0,C1002=Summary!$P$2),Summary!$Q$2,IF(AND(H1003=0,C1002=Summary!$Q$2),Summary!$R$2,C1002))</f>
        <v>Reed</v>
      </c>
      <c r="D1003" t="str">
        <f>IF(C1003=Summary!$P$26,VLOOKUP(Summary!M1010,Summary!$Q$26:$R$27,2),IF('Run Data'!C1003=Summary!$P$28,VLOOKUP(Summary!M1010,Summary!$Q$28:$R$29,2),VLOOKUP(Summary!M1010,Summary!$Q$30:$R$32,2)))</f>
        <v>Sprig 4</v>
      </c>
      <c r="E1003" t="str">
        <f>VLOOKUP(Summary!M1013,Summary!$P$42:$Q$43,2)</f>
        <v>86</v>
      </c>
      <c r="F1003">
        <f>IF(LEFT(A1003,3)="B60",20,IF(LEFT(A1003,3)="B12",30,25))+B1003*0.5+INT(Summary!M1016*20)</f>
        <v>129</v>
      </c>
      <c r="G1003">
        <f>ROUND(IF(OR(ISERROR(FIND(Summary!$P$89,CONCATENATE(C1003,D1003,E1003))),ISERROR(FIND(Summary!$Q$89,A1003))),Summary!$R$45,IF(H1003&gt;Summary!$V$3,Summary!$R$46,Summary!$R$45))*(B1003+30),0)</f>
        <v>2</v>
      </c>
      <c r="H1003">
        <f>IF(H1002&gt;Summary!$V$4,0,H1002+F1002)</f>
        <v>179609</v>
      </c>
      <c r="I1003" s="26">
        <f>DATE(YEAR(Summary!$V$2),MONTH(Summary!$V$2),DAY(Summary!$V$2)+INT(H1003/480))</f>
        <v>43964</v>
      </c>
      <c r="J1003" s="27">
        <f t="shared" si="16"/>
        <v>0.39513888888888887</v>
      </c>
    </row>
    <row r="1004" spans="1:10">
      <c r="A1004" t="str">
        <f>VLOOKUP(Summary!M1003,Summary!$P$13:$Q$24,2)</f>
        <v>B600-plum</v>
      </c>
      <c r="B1004">
        <f>ROUND(NORMINV(Summary!M1005,VLOOKUP(A1004,Summary!$Q$13:$S$24,3,FALSE),VLOOKUP(A1004,Summary!$Q$13:$S$24,3,FALSE)/6),-1)</f>
        <v>180</v>
      </c>
      <c r="C1004" t="str">
        <f>IF(AND(H1004=0,C1003=Summary!$P$2),Summary!$Q$2,IF(AND(H1004=0,C1003=Summary!$Q$2),Summary!$R$2,C1003))</f>
        <v>Reed</v>
      </c>
      <c r="D1004" t="str">
        <f>IF(C1004=Summary!$P$26,VLOOKUP(Summary!M1011,Summary!$Q$26:$R$27,2),IF('Run Data'!C1004=Summary!$P$28,VLOOKUP(Summary!M1011,Summary!$Q$28:$R$29,2),VLOOKUP(Summary!M1011,Summary!$Q$30:$R$32,2)))</f>
        <v>Sprig 2</v>
      </c>
      <c r="E1004" t="str">
        <f>VLOOKUP(Summary!M1014,Summary!$P$42:$Q$43,2)</f>
        <v>86</v>
      </c>
      <c r="F1004">
        <f>IF(LEFT(A1004,3)="B60",20,IF(LEFT(A1004,3)="B12",30,25))+B1004*0.5+INT(Summary!M1017*20)</f>
        <v>118</v>
      </c>
      <c r="G1004">
        <f>ROUND(IF(OR(ISERROR(FIND(Summary!$P$89,CONCATENATE(C1004,D1004,E1004))),ISERROR(FIND(Summary!$Q$89,A1004))),Summary!$R$45,IF(H1004&gt;Summary!$V$3,Summary!$R$46,Summary!$R$45))*(B1004+30),0)</f>
        <v>2</v>
      </c>
      <c r="H1004">
        <f>IF(H1003&gt;Summary!$V$4,0,H1003+F1003)</f>
        <v>179738</v>
      </c>
      <c r="I1004" s="26">
        <f>DATE(YEAR(Summary!$V$2),MONTH(Summary!$V$2),DAY(Summary!$V$2)+INT(H1004/480))</f>
        <v>43964</v>
      </c>
      <c r="J1004" s="27">
        <f t="shared" si="16"/>
        <v>0.48472222222222222</v>
      </c>
    </row>
    <row r="1005" spans="1:10">
      <c r="A1005" t="str">
        <f>VLOOKUP(Summary!M1004,Summary!$P$13:$Q$24,2)</f>
        <v>B1200-lime</v>
      </c>
      <c r="B1005">
        <f>ROUND(NORMINV(Summary!M1006,VLOOKUP(A1005,Summary!$Q$13:$S$24,3,FALSE),VLOOKUP(A1005,Summary!$Q$13:$S$24,3,FALSE)/6),-1)</f>
        <v>850</v>
      </c>
      <c r="C1005" t="str">
        <f>IF(AND(H1005=0,C1004=Summary!$P$2),Summary!$Q$2,IF(AND(H1005=0,C1004=Summary!$Q$2),Summary!$R$2,C1004))</f>
        <v>Reed</v>
      </c>
      <c r="D1005" t="str">
        <f>IF(C1005=Summary!$P$26,VLOOKUP(Summary!M1012,Summary!$Q$26:$R$27,2),IF('Run Data'!C1005=Summary!$P$28,VLOOKUP(Summary!M1012,Summary!$Q$28:$R$29,2),VLOOKUP(Summary!M1012,Summary!$Q$30:$R$32,2)))</f>
        <v>Sprig 2</v>
      </c>
      <c r="E1005" t="str">
        <f>VLOOKUP(Summary!M1015,Summary!$P$42:$Q$43,2)</f>
        <v>86</v>
      </c>
      <c r="F1005">
        <f>IF(LEFT(A1005,3)="B60",20,IF(LEFT(A1005,3)="B12",30,25))+B1005*0.5+INT(Summary!M1018*20)</f>
        <v>467</v>
      </c>
      <c r="G1005">
        <f>ROUND(IF(OR(ISERROR(FIND(Summary!$P$89,CONCATENATE(C1005,D1005,E1005))),ISERROR(FIND(Summary!$Q$89,A1005))),Summary!$R$45,IF(H1005&gt;Summary!$V$3,Summary!$R$46,Summary!$R$45))*(B1005+30),0)</f>
        <v>9</v>
      </c>
      <c r="H1005">
        <f>IF(H1004&gt;Summary!$V$4,0,H1004+F1004)</f>
        <v>179856</v>
      </c>
      <c r="I1005" s="26">
        <f>DATE(YEAR(Summary!$V$2),MONTH(Summary!$V$2),DAY(Summary!$V$2)+INT(H1005/480))</f>
        <v>43964</v>
      </c>
      <c r="J1005" s="27">
        <f t="shared" si="16"/>
        <v>0.56666666666666665</v>
      </c>
    </row>
    <row r="1006" spans="1:10">
      <c r="A1006" t="str">
        <f>VLOOKUP(Summary!M1005,Summary!$P$13:$Q$24,2)</f>
        <v>B1200-plum</v>
      </c>
      <c r="B1006">
        <f>ROUND(NORMINV(Summary!M1007,VLOOKUP(A1006,Summary!$Q$13:$S$24,3,FALSE),VLOOKUP(A1006,Summary!$Q$13:$S$24,3,FALSE)/6),-1)</f>
        <v>410</v>
      </c>
      <c r="C1006" t="str">
        <f>IF(AND(H1006=0,C1005=Summary!$P$2),Summary!$Q$2,IF(AND(H1006=0,C1005=Summary!$Q$2),Summary!$R$2,C1005))</f>
        <v>Reed</v>
      </c>
      <c r="D1006" t="str">
        <f>IF(C1006=Summary!$P$26,VLOOKUP(Summary!M1013,Summary!$Q$26:$R$27,2),IF('Run Data'!C1006=Summary!$P$28,VLOOKUP(Summary!M1013,Summary!$Q$28:$R$29,2),VLOOKUP(Summary!M1013,Summary!$Q$30:$R$32,2)))</f>
        <v>Sprig 2</v>
      </c>
      <c r="E1006" t="str">
        <f>VLOOKUP(Summary!M1016,Summary!$P$42:$Q$43,2)</f>
        <v>86</v>
      </c>
      <c r="F1006">
        <f>IF(LEFT(A1006,3)="B60",20,IF(LEFT(A1006,3)="B12",30,25))+B1006*0.5+INT(Summary!M1019*20)</f>
        <v>253</v>
      </c>
      <c r="G1006">
        <f>ROUND(IF(OR(ISERROR(FIND(Summary!$P$89,CONCATENATE(C1006,D1006,E1006))),ISERROR(FIND(Summary!$Q$89,A1006))),Summary!$R$45,IF(H1006&gt;Summary!$V$3,Summary!$R$46,Summary!$R$45))*(B1006+30),0)</f>
        <v>4</v>
      </c>
      <c r="H1006">
        <f>IF(H1005&gt;Summary!$V$4,0,H1005+F1005)</f>
        <v>180323</v>
      </c>
      <c r="I1006" s="26">
        <f>DATE(YEAR(Summary!$V$2),MONTH(Summary!$V$2),DAY(Summary!$V$2)+INT(H1006/480))</f>
        <v>43965</v>
      </c>
      <c r="J1006" s="27">
        <f t="shared" si="16"/>
        <v>0.55763888888888891</v>
      </c>
    </row>
    <row r="1007" spans="1:10">
      <c r="A1007" t="str">
        <f>VLOOKUP(Summary!M1006,Summary!$P$13:$Q$24,2)</f>
        <v>B1200-lime</v>
      </c>
      <c r="B1007">
        <f>ROUND(NORMINV(Summary!M1008,VLOOKUP(A1007,Summary!$Q$13:$S$24,3,FALSE),VLOOKUP(A1007,Summary!$Q$13:$S$24,3,FALSE)/6),-1)</f>
        <v>870</v>
      </c>
      <c r="C1007" t="str">
        <f>IF(AND(H1007=0,C1006=Summary!$P$2),Summary!$Q$2,IF(AND(H1007=0,C1006=Summary!$Q$2),Summary!$R$2,C1006))</f>
        <v>Reed</v>
      </c>
      <c r="D1007" t="str">
        <f>IF(C1007=Summary!$P$26,VLOOKUP(Summary!M1014,Summary!$Q$26:$R$27,2),IF('Run Data'!C1007=Summary!$P$28,VLOOKUP(Summary!M1014,Summary!$Q$28:$R$29,2),VLOOKUP(Summary!M1014,Summary!$Q$30:$R$32,2)))</f>
        <v>Sprig 2</v>
      </c>
      <c r="E1007" t="str">
        <f>VLOOKUP(Summary!M1017,Summary!$P$42:$Q$43,2)</f>
        <v>86</v>
      </c>
      <c r="F1007">
        <f>IF(LEFT(A1007,3)="B60",20,IF(LEFT(A1007,3)="B12",30,25))+B1007*0.5+INT(Summary!M1020*20)</f>
        <v>467</v>
      </c>
      <c r="G1007">
        <f>ROUND(IF(OR(ISERROR(FIND(Summary!$P$89,CONCATENATE(C1007,D1007,E1007))),ISERROR(FIND(Summary!$Q$89,A1007))),Summary!$R$45,IF(H1007&gt;Summary!$V$3,Summary!$R$46,Summary!$R$45))*(B1007+30),0)</f>
        <v>9</v>
      </c>
      <c r="H1007">
        <f>IF(H1006&gt;Summary!$V$4,0,H1006+F1006)</f>
        <v>180576</v>
      </c>
      <c r="I1007" s="26">
        <f>DATE(YEAR(Summary!$V$2),MONTH(Summary!$V$2),DAY(Summary!$V$2)+INT(H1007/480))</f>
        <v>43966</v>
      </c>
      <c r="J1007" s="27">
        <f t="shared" si="16"/>
        <v>0.39999999999999997</v>
      </c>
    </row>
    <row r="1008" spans="1:10">
      <c r="A1008" t="str">
        <f>VLOOKUP(Summary!M1007,Summary!$P$13:$Q$24,2)</f>
        <v>B1200-plum</v>
      </c>
      <c r="B1008">
        <f>ROUND(NORMINV(Summary!M1009,VLOOKUP(A1008,Summary!$Q$13:$S$24,3,FALSE),VLOOKUP(A1008,Summary!$Q$13:$S$24,3,FALSE)/6),-1)</f>
        <v>410</v>
      </c>
      <c r="C1008" t="str">
        <f>IF(AND(H1008=0,C1007=Summary!$P$2),Summary!$Q$2,IF(AND(H1008=0,C1007=Summary!$Q$2),Summary!$R$2,C1007))</f>
        <v>Reed</v>
      </c>
      <c r="D1008" t="str">
        <f>IF(C1008=Summary!$P$26,VLOOKUP(Summary!M1015,Summary!$Q$26:$R$27,2),IF('Run Data'!C1008=Summary!$P$28,VLOOKUP(Summary!M1015,Summary!$Q$28:$R$29,2),VLOOKUP(Summary!M1015,Summary!$Q$30:$R$32,2)))</f>
        <v>Sprig 2</v>
      </c>
      <c r="E1008" t="str">
        <f>VLOOKUP(Summary!M1018,Summary!$P$42:$Q$43,2)</f>
        <v>86</v>
      </c>
      <c r="F1008">
        <f>IF(LEFT(A1008,3)="B60",20,IF(LEFT(A1008,3)="B12",30,25))+B1008*0.5+INT(Summary!M1021*20)</f>
        <v>247</v>
      </c>
      <c r="G1008">
        <f>ROUND(IF(OR(ISERROR(FIND(Summary!$P$89,CONCATENATE(C1008,D1008,E1008))),ISERROR(FIND(Summary!$Q$89,A1008))),Summary!$R$45,IF(H1008&gt;Summary!$V$3,Summary!$R$46,Summary!$R$45))*(B1008+30),0)</f>
        <v>4</v>
      </c>
      <c r="H1008">
        <f>IF(H1007&gt;Summary!$V$4,0,H1007+F1007)</f>
        <v>181043</v>
      </c>
      <c r="I1008" s="26">
        <f>DATE(YEAR(Summary!$V$2),MONTH(Summary!$V$2),DAY(Summary!$V$2)+INT(H1008/480))</f>
        <v>43967</v>
      </c>
      <c r="J1008" s="27">
        <f t="shared" si="16"/>
        <v>0.39097222222222222</v>
      </c>
    </row>
    <row r="1009" spans="1:10">
      <c r="A1009" t="str">
        <f>VLOOKUP(Summary!M1008,Summary!$P$13:$Q$24,2)</f>
        <v>B1700-plum</v>
      </c>
      <c r="B1009">
        <f>ROUND(NORMINV(Summary!M1010,VLOOKUP(A1009,Summary!$Q$13:$S$24,3,FALSE),VLOOKUP(A1009,Summary!$Q$13:$S$24,3,FALSE)/6),-1)</f>
        <v>390</v>
      </c>
      <c r="C1009" t="str">
        <f>IF(AND(H1009=0,C1008=Summary!$P$2),Summary!$Q$2,IF(AND(H1009=0,C1008=Summary!$Q$2),Summary!$R$2,C1008))</f>
        <v>Reed</v>
      </c>
      <c r="D1009" t="str">
        <f>IF(C1009=Summary!$P$26,VLOOKUP(Summary!M1016,Summary!$Q$26:$R$27,2),IF('Run Data'!C1009=Summary!$P$28,VLOOKUP(Summary!M1016,Summary!$Q$28:$R$29,2),VLOOKUP(Summary!M1016,Summary!$Q$30:$R$32,2)))</f>
        <v>Sprig 2</v>
      </c>
      <c r="E1009" t="str">
        <f>VLOOKUP(Summary!M1019,Summary!$P$42:$Q$43,2)</f>
        <v>87b</v>
      </c>
      <c r="F1009">
        <f>IF(LEFT(A1009,3)="B60",20,IF(LEFT(A1009,3)="B12",30,25))+B1009*0.5+INT(Summary!M1022*20)</f>
        <v>225</v>
      </c>
      <c r="G1009">
        <f>ROUND(IF(OR(ISERROR(FIND(Summary!$P$89,CONCATENATE(C1009,D1009,E1009))),ISERROR(FIND(Summary!$Q$89,A1009))),Summary!$R$45,IF(H1009&gt;Summary!$V$3,Summary!$R$46,Summary!$R$45))*(B1009+30),0)</f>
        <v>4</v>
      </c>
      <c r="H1009">
        <f>IF(H1008&gt;Summary!$V$4,0,H1008+F1008)</f>
        <v>181290</v>
      </c>
      <c r="I1009" s="26">
        <f>DATE(YEAR(Summary!$V$2),MONTH(Summary!$V$2),DAY(Summary!$V$2)+INT(H1009/480))</f>
        <v>43967</v>
      </c>
      <c r="J1009" s="27">
        <f t="shared" si="16"/>
        <v>0.5625</v>
      </c>
    </row>
    <row r="1010" spans="1:10">
      <c r="A1010" t="str">
        <f>VLOOKUP(Summary!M1009,Summary!$P$13:$Q$24,2)</f>
        <v>B1200-plum</v>
      </c>
      <c r="B1010">
        <f>ROUND(NORMINV(Summary!M1011,VLOOKUP(A1010,Summary!$Q$13:$S$24,3,FALSE),VLOOKUP(A1010,Summary!$Q$13:$S$24,3,FALSE)/6),-1)</f>
        <v>510</v>
      </c>
      <c r="C1010" t="str">
        <f>IF(AND(H1010=0,C1009=Summary!$P$2),Summary!$Q$2,IF(AND(H1010=0,C1009=Summary!$Q$2),Summary!$R$2,C1009))</f>
        <v>Reed</v>
      </c>
      <c r="D1010" t="str">
        <f>IF(C1010=Summary!$P$26,VLOOKUP(Summary!M1017,Summary!$Q$26:$R$27,2),IF('Run Data'!C1010=Summary!$P$28,VLOOKUP(Summary!M1017,Summary!$Q$28:$R$29,2),VLOOKUP(Summary!M1017,Summary!$Q$30:$R$32,2)))</f>
        <v>Sprig 2</v>
      </c>
      <c r="E1010" t="str">
        <f>VLOOKUP(Summary!M1020,Summary!$P$42:$Q$43,2)</f>
        <v>86</v>
      </c>
      <c r="F1010">
        <f>IF(LEFT(A1010,3)="B60",20,IF(LEFT(A1010,3)="B12",30,25))+B1010*0.5+INT(Summary!M1023*20)</f>
        <v>300</v>
      </c>
      <c r="G1010">
        <f>ROUND(IF(OR(ISERROR(FIND(Summary!$P$89,CONCATENATE(C1010,D1010,E1010))),ISERROR(FIND(Summary!$Q$89,A1010))),Summary!$R$45,IF(H1010&gt;Summary!$V$3,Summary!$R$46,Summary!$R$45))*(B1010+30),0)</f>
        <v>5</v>
      </c>
      <c r="H1010">
        <f>IF(H1009&gt;Summary!$V$4,0,H1009+F1009)</f>
        <v>181515</v>
      </c>
      <c r="I1010" s="26">
        <f>DATE(YEAR(Summary!$V$2),MONTH(Summary!$V$2),DAY(Summary!$V$2)+INT(H1010/480))</f>
        <v>43968</v>
      </c>
      <c r="J1010" s="27">
        <f t="shared" si="16"/>
        <v>0.38541666666666669</v>
      </c>
    </row>
    <row r="1011" spans="1:10">
      <c r="A1011" t="str">
        <f>VLOOKUP(Summary!M1010,Summary!$P$13:$Q$24,2)</f>
        <v>B1700-lime</v>
      </c>
      <c r="B1011">
        <f>ROUND(NORMINV(Summary!M1012,VLOOKUP(A1011,Summary!$Q$13:$S$24,3,FALSE),VLOOKUP(A1011,Summary!$Q$13:$S$24,3,FALSE)/6),-1)</f>
        <v>420</v>
      </c>
      <c r="C1011" t="str">
        <f>IF(AND(H1011=0,C1010=Summary!$P$2),Summary!$Q$2,IF(AND(H1011=0,C1010=Summary!$Q$2),Summary!$R$2,C1010))</f>
        <v>Reed</v>
      </c>
      <c r="D1011" t="str">
        <f>IF(C1011=Summary!$P$26,VLOOKUP(Summary!M1018,Summary!$Q$26:$R$27,2),IF('Run Data'!C1011=Summary!$P$28,VLOOKUP(Summary!M1018,Summary!$Q$28:$R$29,2),VLOOKUP(Summary!M1018,Summary!$Q$30:$R$32,2)))</f>
        <v>Sprig 2</v>
      </c>
      <c r="E1011" t="str">
        <f>VLOOKUP(Summary!M1021,Summary!$P$42:$Q$43,2)</f>
        <v>86</v>
      </c>
      <c r="F1011">
        <f>IF(LEFT(A1011,3)="B60",20,IF(LEFT(A1011,3)="B12",30,25))+B1011*0.5+INT(Summary!M1024*20)</f>
        <v>244</v>
      </c>
      <c r="G1011">
        <f>ROUND(IF(OR(ISERROR(FIND(Summary!$P$89,CONCATENATE(C1011,D1011,E1011))),ISERROR(FIND(Summary!$Q$89,A1011))),Summary!$R$45,IF(H1011&gt;Summary!$V$3,Summary!$R$46,Summary!$R$45))*(B1011+30),0)</f>
        <v>54</v>
      </c>
      <c r="H1011">
        <f>IF(H1010&gt;Summary!$V$4,0,H1010+F1010)</f>
        <v>181815</v>
      </c>
      <c r="I1011" s="26">
        <f>DATE(YEAR(Summary!$V$2),MONTH(Summary!$V$2),DAY(Summary!$V$2)+INT(H1011/480))</f>
        <v>43968</v>
      </c>
      <c r="J1011" s="27">
        <f t="shared" si="16"/>
        <v>0.59375</v>
      </c>
    </row>
    <row r="1012" spans="1:10">
      <c r="A1012" t="str">
        <f>VLOOKUP(Summary!M1011,Summary!$P$13:$Q$24,2)</f>
        <v>B1700-sky</v>
      </c>
      <c r="B1012">
        <f>ROUND(NORMINV(Summary!M1013,VLOOKUP(A1012,Summary!$Q$13:$S$24,3,FALSE),VLOOKUP(A1012,Summary!$Q$13:$S$24,3,FALSE)/6),-1)</f>
        <v>510</v>
      </c>
      <c r="C1012" t="str">
        <f>IF(AND(H1012=0,C1011=Summary!$P$2),Summary!$Q$2,IF(AND(H1012=0,C1011=Summary!$Q$2),Summary!$R$2,C1011))</f>
        <v>Reed</v>
      </c>
      <c r="D1012" t="str">
        <f>IF(C1012=Summary!$P$26,VLOOKUP(Summary!M1019,Summary!$Q$26:$R$27,2),IF('Run Data'!C1012=Summary!$P$28,VLOOKUP(Summary!M1019,Summary!$Q$28:$R$29,2),VLOOKUP(Summary!M1019,Summary!$Q$30:$R$32,2)))</f>
        <v>Sprig 4</v>
      </c>
      <c r="E1012" t="str">
        <f>VLOOKUP(Summary!M1022,Summary!$P$42:$Q$43,2)</f>
        <v>86</v>
      </c>
      <c r="F1012">
        <f>IF(LEFT(A1012,3)="B60",20,IF(LEFT(A1012,3)="B12",30,25))+B1012*0.5+INT(Summary!M1025*20)</f>
        <v>287</v>
      </c>
      <c r="G1012">
        <f>ROUND(IF(OR(ISERROR(FIND(Summary!$P$89,CONCATENATE(C1012,D1012,E1012))),ISERROR(FIND(Summary!$Q$89,A1012))),Summary!$R$45,IF(H1012&gt;Summary!$V$3,Summary!$R$46,Summary!$R$45))*(B1012+30),0)</f>
        <v>65</v>
      </c>
      <c r="H1012">
        <f>IF(H1011&gt;Summary!$V$4,0,H1011+F1011)</f>
        <v>182059</v>
      </c>
      <c r="I1012" s="26">
        <f>DATE(YEAR(Summary!$V$2),MONTH(Summary!$V$2),DAY(Summary!$V$2)+INT(H1012/480))</f>
        <v>43969</v>
      </c>
      <c r="J1012" s="27">
        <f t="shared" si="16"/>
        <v>0.42986111111111108</v>
      </c>
    </row>
    <row r="1013" spans="1:10">
      <c r="A1013" t="str">
        <f>VLOOKUP(Summary!M1012,Summary!$P$13:$Q$24,2)</f>
        <v>B1200-lime</v>
      </c>
      <c r="B1013">
        <f>ROUND(NORMINV(Summary!M1014,VLOOKUP(A1013,Summary!$Q$13:$S$24,3,FALSE),VLOOKUP(A1013,Summary!$Q$13:$S$24,3,FALSE)/6),-1)</f>
        <v>900</v>
      </c>
      <c r="C1013" t="str">
        <f>IF(AND(H1013=0,C1012=Summary!$P$2),Summary!$Q$2,IF(AND(H1013=0,C1012=Summary!$Q$2),Summary!$R$2,C1012))</f>
        <v>Reed</v>
      </c>
      <c r="D1013" t="str">
        <f>IF(C1013=Summary!$P$26,VLOOKUP(Summary!M1020,Summary!$Q$26:$R$27,2),IF('Run Data'!C1013=Summary!$P$28,VLOOKUP(Summary!M1020,Summary!$Q$28:$R$29,2),VLOOKUP(Summary!M1020,Summary!$Q$30:$R$32,2)))</f>
        <v>Sprig 2</v>
      </c>
      <c r="E1013" t="str">
        <f>VLOOKUP(Summary!M1023,Summary!$P$42:$Q$43,2)</f>
        <v>86</v>
      </c>
      <c r="F1013">
        <f>IF(LEFT(A1013,3)="B60",20,IF(LEFT(A1013,3)="B12",30,25))+B1013*0.5+INT(Summary!M1026*20)</f>
        <v>485</v>
      </c>
      <c r="G1013">
        <f>ROUND(IF(OR(ISERROR(FIND(Summary!$P$89,CONCATENATE(C1013,D1013,E1013))),ISERROR(FIND(Summary!$Q$89,A1013))),Summary!$R$45,IF(H1013&gt;Summary!$V$3,Summary!$R$46,Summary!$R$45))*(B1013+30),0)</f>
        <v>9</v>
      </c>
      <c r="H1013">
        <f>IF(H1012&gt;Summary!$V$4,0,H1012+F1012)</f>
        <v>182346</v>
      </c>
      <c r="I1013" s="26">
        <f>DATE(YEAR(Summary!$V$2),MONTH(Summary!$V$2),DAY(Summary!$V$2)+INT(H1013/480))</f>
        <v>43969</v>
      </c>
      <c r="J1013" s="27">
        <f t="shared" si="16"/>
        <v>0.62916666666666665</v>
      </c>
    </row>
    <row r="1014" spans="1:10">
      <c r="A1014" t="str">
        <f>VLOOKUP(Summary!M1013,Summary!$P$13:$Q$24,2)</f>
        <v>B1200-sky</v>
      </c>
      <c r="B1014">
        <f>ROUND(NORMINV(Summary!M1015,VLOOKUP(A1014,Summary!$Q$13:$S$24,3,FALSE),VLOOKUP(A1014,Summary!$Q$13:$S$24,3,FALSE)/6),-1)</f>
        <v>1070</v>
      </c>
      <c r="C1014" t="str">
        <f>IF(AND(H1014=0,C1013=Summary!$P$2),Summary!$Q$2,IF(AND(H1014=0,C1013=Summary!$Q$2),Summary!$R$2,C1013))</f>
        <v>Reed</v>
      </c>
      <c r="D1014" t="str">
        <f>IF(C1014=Summary!$P$26,VLOOKUP(Summary!M1021,Summary!$Q$26:$R$27,2),IF('Run Data'!C1014=Summary!$P$28,VLOOKUP(Summary!M1021,Summary!$Q$28:$R$29,2),VLOOKUP(Summary!M1021,Summary!$Q$30:$R$32,2)))</f>
        <v>Sprig 2</v>
      </c>
      <c r="E1014" t="str">
        <f>VLOOKUP(Summary!M1024,Summary!$P$42:$Q$43,2)</f>
        <v>86</v>
      </c>
      <c r="F1014">
        <f>IF(LEFT(A1014,3)="B60",20,IF(LEFT(A1014,3)="B12",30,25))+B1014*0.5+INT(Summary!M1027*20)</f>
        <v>584</v>
      </c>
      <c r="G1014">
        <f>ROUND(IF(OR(ISERROR(FIND(Summary!$P$89,CONCATENATE(C1014,D1014,E1014))),ISERROR(FIND(Summary!$Q$89,A1014))),Summary!$R$45,IF(H1014&gt;Summary!$V$3,Summary!$R$46,Summary!$R$45))*(B1014+30),0)</f>
        <v>11</v>
      </c>
      <c r="H1014">
        <f>IF(H1013&gt;Summary!$V$4,0,H1013+F1013)</f>
        <v>182831</v>
      </c>
      <c r="I1014" s="26">
        <f>DATE(YEAR(Summary!$V$2),MONTH(Summary!$V$2),DAY(Summary!$V$2)+INT(H1014/480))</f>
        <v>43970</v>
      </c>
      <c r="J1014" s="27">
        <f t="shared" si="16"/>
        <v>0.63263888888888886</v>
      </c>
    </row>
    <row r="1015" spans="1:10">
      <c r="A1015" t="str">
        <f>VLOOKUP(Summary!M1014,Summary!$P$13:$Q$24,2)</f>
        <v>B1700-sky</v>
      </c>
      <c r="B1015">
        <f>ROUND(NORMINV(Summary!M1016,VLOOKUP(A1015,Summary!$Q$13:$S$24,3,FALSE),VLOOKUP(A1015,Summary!$Q$13:$S$24,3,FALSE)/6),-1)</f>
        <v>470</v>
      </c>
      <c r="C1015" t="str">
        <f>IF(AND(H1015=0,C1014=Summary!$P$2),Summary!$Q$2,IF(AND(H1015=0,C1014=Summary!$Q$2),Summary!$R$2,C1014))</f>
        <v>Reed</v>
      </c>
      <c r="D1015" t="str">
        <f>IF(C1015=Summary!$P$26,VLOOKUP(Summary!M1022,Summary!$Q$26:$R$27,2),IF('Run Data'!C1015=Summary!$P$28,VLOOKUP(Summary!M1022,Summary!$Q$28:$R$29,2),VLOOKUP(Summary!M1022,Summary!$Q$30:$R$32,2)))</f>
        <v>Sprig 2</v>
      </c>
      <c r="E1015" t="str">
        <f>VLOOKUP(Summary!M1025,Summary!$P$42:$Q$43,2)</f>
        <v>86</v>
      </c>
      <c r="F1015">
        <f>IF(LEFT(A1015,3)="B60",20,IF(LEFT(A1015,3)="B12",30,25))+B1015*0.5+INT(Summary!M1028*20)</f>
        <v>261</v>
      </c>
      <c r="G1015">
        <f>ROUND(IF(OR(ISERROR(FIND(Summary!$P$89,CONCATENATE(C1015,D1015,E1015))),ISERROR(FIND(Summary!$Q$89,A1015))),Summary!$R$45,IF(H1015&gt;Summary!$V$3,Summary!$R$46,Summary!$R$45))*(B1015+30),0)</f>
        <v>60</v>
      </c>
      <c r="H1015">
        <f>IF(H1014&gt;Summary!$V$4,0,H1014+F1014)</f>
        <v>183415</v>
      </c>
      <c r="I1015" s="26">
        <f>DATE(YEAR(Summary!$V$2),MONTH(Summary!$V$2),DAY(Summary!$V$2)+INT(H1015/480))</f>
        <v>43972</v>
      </c>
      <c r="J1015" s="27">
        <f t="shared" si="16"/>
        <v>0.37152777777777773</v>
      </c>
    </row>
    <row r="1016" spans="1:10">
      <c r="A1016" t="str">
        <f>VLOOKUP(Summary!M1015,Summary!$P$13:$Q$24,2)</f>
        <v>B1200-plum</v>
      </c>
      <c r="B1016">
        <f>ROUND(NORMINV(Summary!M1017,VLOOKUP(A1016,Summary!$Q$13:$S$24,3,FALSE),VLOOKUP(A1016,Summary!$Q$13:$S$24,3,FALSE)/6),-1)</f>
        <v>440</v>
      </c>
      <c r="C1016" t="str">
        <f>IF(AND(H1016=0,C1015=Summary!$P$2),Summary!$Q$2,IF(AND(H1016=0,C1015=Summary!$Q$2),Summary!$R$2,C1015))</f>
        <v>Reed</v>
      </c>
      <c r="D1016" t="str">
        <f>IF(C1016=Summary!$P$26,VLOOKUP(Summary!M1023,Summary!$Q$26:$R$27,2),IF('Run Data'!C1016=Summary!$P$28,VLOOKUP(Summary!M1023,Summary!$Q$28:$R$29,2),VLOOKUP(Summary!M1023,Summary!$Q$30:$R$32,2)))</f>
        <v>Sprig 2</v>
      </c>
      <c r="E1016" t="str">
        <f>VLOOKUP(Summary!M1026,Summary!$P$42:$Q$43,2)</f>
        <v>86</v>
      </c>
      <c r="F1016">
        <f>IF(LEFT(A1016,3)="B60",20,IF(LEFT(A1016,3)="B12",30,25))+B1016*0.5+INT(Summary!M1029*20)</f>
        <v>266</v>
      </c>
      <c r="G1016">
        <f>ROUND(IF(OR(ISERROR(FIND(Summary!$P$89,CONCATENATE(C1016,D1016,E1016))),ISERROR(FIND(Summary!$Q$89,A1016))),Summary!$R$45,IF(H1016&gt;Summary!$V$3,Summary!$R$46,Summary!$R$45))*(B1016+30),0)</f>
        <v>5</v>
      </c>
      <c r="H1016">
        <f>IF(H1015&gt;Summary!$V$4,0,H1015+F1015)</f>
        <v>183676</v>
      </c>
      <c r="I1016" s="26">
        <f>DATE(YEAR(Summary!$V$2),MONTH(Summary!$V$2),DAY(Summary!$V$2)+INT(H1016/480))</f>
        <v>43972</v>
      </c>
      <c r="J1016" s="27">
        <f t="shared" si="16"/>
        <v>0.55277777777777781</v>
      </c>
    </row>
    <row r="1017" spans="1:10">
      <c r="A1017" t="str">
        <f>VLOOKUP(Summary!M1016,Summary!$P$13:$Q$24,2)</f>
        <v>B600-lime</v>
      </c>
      <c r="B1017">
        <f>ROUND(NORMINV(Summary!M1018,VLOOKUP(A1017,Summary!$Q$13:$S$24,3,FALSE),VLOOKUP(A1017,Summary!$Q$13:$S$24,3,FALSE)/6),-1)</f>
        <v>320</v>
      </c>
      <c r="C1017" t="str">
        <f>IF(AND(H1017=0,C1016=Summary!$P$2),Summary!$Q$2,IF(AND(H1017=0,C1016=Summary!$Q$2),Summary!$R$2,C1016))</f>
        <v>Reed</v>
      </c>
      <c r="D1017" t="str">
        <f>IF(C1017=Summary!$P$26,VLOOKUP(Summary!M1024,Summary!$Q$26:$R$27,2),IF('Run Data'!C1017=Summary!$P$28,VLOOKUP(Summary!M1024,Summary!$Q$28:$R$29,2),VLOOKUP(Summary!M1024,Summary!$Q$30:$R$32,2)))</f>
        <v>Sprig 2</v>
      </c>
      <c r="E1017" t="str">
        <f>VLOOKUP(Summary!M1027,Summary!$P$42:$Q$43,2)</f>
        <v>87b</v>
      </c>
      <c r="F1017">
        <f>IF(LEFT(A1017,3)="B60",20,IF(LEFT(A1017,3)="B12",30,25))+B1017*0.5+INT(Summary!M1030*20)</f>
        <v>192</v>
      </c>
      <c r="G1017">
        <f>ROUND(IF(OR(ISERROR(FIND(Summary!$P$89,CONCATENATE(C1017,D1017,E1017))),ISERROR(FIND(Summary!$Q$89,A1017))),Summary!$R$45,IF(H1017&gt;Summary!$V$3,Summary!$R$46,Summary!$R$45))*(B1017+30),0)</f>
        <v>4</v>
      </c>
      <c r="H1017">
        <f>IF(H1016&gt;Summary!$V$4,0,H1016+F1016)</f>
        <v>183942</v>
      </c>
      <c r="I1017" s="26">
        <f>DATE(YEAR(Summary!$V$2),MONTH(Summary!$V$2),DAY(Summary!$V$2)+INT(H1017/480))</f>
        <v>43973</v>
      </c>
      <c r="J1017" s="27">
        <f t="shared" si="16"/>
        <v>0.40416666666666662</v>
      </c>
    </row>
    <row r="1018" spans="1:10">
      <c r="A1018" t="str">
        <f>VLOOKUP(Summary!M1017,Summary!$P$13:$Q$24,2)</f>
        <v>B1200-sky</v>
      </c>
      <c r="B1018">
        <f>ROUND(NORMINV(Summary!M1019,VLOOKUP(A1018,Summary!$Q$13:$S$24,3,FALSE),VLOOKUP(A1018,Summary!$Q$13:$S$24,3,FALSE)/6),-1)</f>
        <v>1470</v>
      </c>
      <c r="C1018" t="str">
        <f>IF(AND(H1018=0,C1017=Summary!$P$2),Summary!$Q$2,IF(AND(H1018=0,C1017=Summary!$Q$2),Summary!$R$2,C1017))</f>
        <v>Reed</v>
      </c>
      <c r="D1018" t="str">
        <f>IF(C1018=Summary!$P$26,VLOOKUP(Summary!M1025,Summary!$Q$26:$R$27,2),IF('Run Data'!C1018=Summary!$P$28,VLOOKUP(Summary!M1025,Summary!$Q$28:$R$29,2),VLOOKUP(Summary!M1025,Summary!$Q$30:$R$32,2)))</f>
        <v>Sprig 2</v>
      </c>
      <c r="E1018" t="str">
        <f>VLOOKUP(Summary!M1028,Summary!$P$42:$Q$43,2)</f>
        <v>86</v>
      </c>
      <c r="F1018">
        <f>IF(LEFT(A1018,3)="B60",20,IF(LEFT(A1018,3)="B12",30,25))+B1018*0.5+INT(Summary!M1031*20)</f>
        <v>781</v>
      </c>
      <c r="G1018">
        <f>ROUND(IF(OR(ISERROR(FIND(Summary!$P$89,CONCATENATE(C1018,D1018,E1018))),ISERROR(FIND(Summary!$Q$89,A1018))),Summary!$R$45,IF(H1018&gt;Summary!$V$3,Summary!$R$46,Summary!$R$45))*(B1018+30),0)</f>
        <v>15</v>
      </c>
      <c r="H1018">
        <f>IF(H1017&gt;Summary!$V$4,0,H1017+F1017)</f>
        <v>184134</v>
      </c>
      <c r="I1018" s="26">
        <f>DATE(YEAR(Summary!$V$2),MONTH(Summary!$V$2),DAY(Summary!$V$2)+INT(H1018/480))</f>
        <v>43973</v>
      </c>
      <c r="J1018" s="27">
        <f t="shared" si="16"/>
        <v>0.53749999999999998</v>
      </c>
    </row>
    <row r="1019" spans="1:10">
      <c r="A1019" t="str">
        <f>VLOOKUP(Summary!M1018,Summary!$P$13:$Q$24,2)</f>
        <v>B1200-lime</v>
      </c>
      <c r="B1019">
        <f>ROUND(NORMINV(Summary!M1020,VLOOKUP(A1019,Summary!$Q$13:$S$24,3,FALSE),VLOOKUP(A1019,Summary!$Q$13:$S$24,3,FALSE)/6),-1)</f>
        <v>630</v>
      </c>
      <c r="C1019" t="str">
        <f>IF(AND(H1019=0,C1018=Summary!$P$2),Summary!$Q$2,IF(AND(H1019=0,C1018=Summary!$Q$2),Summary!$R$2,C1018))</f>
        <v>Reed</v>
      </c>
      <c r="D1019" t="str">
        <f>IF(C1019=Summary!$P$26,VLOOKUP(Summary!M1026,Summary!$Q$26:$R$27,2),IF('Run Data'!C1019=Summary!$P$28,VLOOKUP(Summary!M1026,Summary!$Q$28:$R$29,2),VLOOKUP(Summary!M1026,Summary!$Q$30:$R$32,2)))</f>
        <v>Sprig 2</v>
      </c>
      <c r="E1019" t="str">
        <f>VLOOKUP(Summary!M1029,Summary!$P$42:$Q$43,2)</f>
        <v>86</v>
      </c>
      <c r="F1019">
        <f>IF(LEFT(A1019,3)="B60",20,IF(LEFT(A1019,3)="B12",30,25))+B1019*0.5+INT(Summary!M1032*20)</f>
        <v>361</v>
      </c>
      <c r="G1019">
        <f>ROUND(IF(OR(ISERROR(FIND(Summary!$P$89,CONCATENATE(C1019,D1019,E1019))),ISERROR(FIND(Summary!$Q$89,A1019))),Summary!$R$45,IF(H1019&gt;Summary!$V$3,Summary!$R$46,Summary!$R$45))*(B1019+30),0)</f>
        <v>7</v>
      </c>
      <c r="H1019">
        <f>IF(H1018&gt;Summary!$V$4,0,H1018+F1018)</f>
        <v>184915</v>
      </c>
      <c r="I1019" s="26">
        <f>DATE(YEAR(Summary!$V$2),MONTH(Summary!$V$2),DAY(Summary!$V$2)+INT(H1019/480))</f>
        <v>43975</v>
      </c>
      <c r="J1019" s="27">
        <f t="shared" si="16"/>
        <v>0.41319444444444442</v>
      </c>
    </row>
    <row r="1020" spans="1:10">
      <c r="A1020" t="str">
        <f>VLOOKUP(Summary!M1019,Summary!$P$13:$Q$24,2)</f>
        <v>B1700-lime</v>
      </c>
      <c r="B1020">
        <f>ROUND(NORMINV(Summary!M1021,VLOOKUP(A1020,Summary!$Q$13:$S$24,3,FALSE),VLOOKUP(A1020,Summary!$Q$13:$S$24,3,FALSE)/6),-1)</f>
        <v>420</v>
      </c>
      <c r="C1020" t="str">
        <f>IF(AND(H1020=0,C1019=Summary!$P$2),Summary!$Q$2,IF(AND(H1020=0,C1019=Summary!$Q$2),Summary!$R$2,C1019))</f>
        <v>Reed</v>
      </c>
      <c r="D1020" t="str">
        <f>IF(C1020=Summary!$P$26,VLOOKUP(Summary!M1027,Summary!$Q$26:$R$27,2),IF('Run Data'!C1020=Summary!$P$28,VLOOKUP(Summary!M1027,Summary!$Q$28:$R$29,2),VLOOKUP(Summary!M1027,Summary!$Q$30:$R$32,2)))</f>
        <v>Sprig 4</v>
      </c>
      <c r="E1020" t="str">
        <f>VLOOKUP(Summary!M1030,Summary!$P$42:$Q$43,2)</f>
        <v>86</v>
      </c>
      <c r="F1020">
        <f>IF(LEFT(A1020,3)="B60",20,IF(LEFT(A1020,3)="B12",30,25))+B1020*0.5+INT(Summary!M1033*20)</f>
        <v>249</v>
      </c>
      <c r="G1020">
        <f>ROUND(IF(OR(ISERROR(FIND(Summary!$P$89,CONCATENATE(C1020,D1020,E1020))),ISERROR(FIND(Summary!$Q$89,A1020))),Summary!$R$45,IF(H1020&gt;Summary!$V$3,Summary!$R$46,Summary!$R$45))*(B1020+30),0)</f>
        <v>54</v>
      </c>
      <c r="H1020">
        <f>IF(H1019&gt;Summary!$V$4,0,H1019+F1019)</f>
        <v>185276</v>
      </c>
      <c r="I1020" s="26">
        <f>DATE(YEAR(Summary!$V$2),MONTH(Summary!$V$2),DAY(Summary!$V$2)+INT(H1020/480))</f>
        <v>43975</v>
      </c>
      <c r="J1020" s="27">
        <f t="shared" si="16"/>
        <v>0.66388888888888886</v>
      </c>
    </row>
    <row r="1021" spans="1:10">
      <c r="A1021" t="str">
        <f>VLOOKUP(Summary!M1020,Summary!$P$13:$Q$24,2)</f>
        <v>B600-sky</v>
      </c>
      <c r="B1021">
        <f>ROUND(NORMINV(Summary!M1022,VLOOKUP(A1021,Summary!$Q$13:$S$24,3,FALSE),VLOOKUP(A1021,Summary!$Q$13:$S$24,3,FALSE)/6),-1)</f>
        <v>450</v>
      </c>
      <c r="C1021" t="str">
        <f>IF(AND(H1021=0,C1020=Summary!$P$2),Summary!$Q$2,IF(AND(H1021=0,C1020=Summary!$Q$2),Summary!$R$2,C1020))</f>
        <v>Reed</v>
      </c>
      <c r="D1021" t="str">
        <f>IF(C1021=Summary!$P$26,VLOOKUP(Summary!M1028,Summary!$Q$26:$R$27,2),IF('Run Data'!C1021=Summary!$P$28,VLOOKUP(Summary!M1028,Summary!$Q$28:$R$29,2),VLOOKUP(Summary!M1028,Summary!$Q$30:$R$32,2)))</f>
        <v>Sprig 2</v>
      </c>
      <c r="E1021" t="str">
        <f>VLOOKUP(Summary!M1031,Summary!$P$42:$Q$43,2)</f>
        <v>86</v>
      </c>
      <c r="F1021">
        <f>IF(LEFT(A1021,3)="B60",20,IF(LEFT(A1021,3)="B12",30,25))+B1021*0.5+INT(Summary!M1034*20)</f>
        <v>258</v>
      </c>
      <c r="G1021">
        <f>ROUND(IF(OR(ISERROR(FIND(Summary!$P$89,CONCATENATE(C1021,D1021,E1021))),ISERROR(FIND(Summary!$Q$89,A1021))),Summary!$R$45,IF(H1021&gt;Summary!$V$3,Summary!$R$46,Summary!$R$45))*(B1021+30),0)</f>
        <v>5</v>
      </c>
      <c r="H1021">
        <f>IF(H1020&gt;Summary!$V$4,0,H1020+F1020)</f>
        <v>185525</v>
      </c>
      <c r="I1021" s="26">
        <f>DATE(YEAR(Summary!$V$2),MONTH(Summary!$V$2),DAY(Summary!$V$2)+INT(H1021/480))</f>
        <v>43976</v>
      </c>
      <c r="J1021" s="27">
        <f t="shared" si="16"/>
        <v>0.50347222222222221</v>
      </c>
    </row>
    <row r="1022" spans="1:10">
      <c r="A1022" t="str">
        <f>VLOOKUP(Summary!M1021,Summary!$P$13:$Q$24,2)</f>
        <v>B1200-lime</v>
      </c>
      <c r="B1022">
        <f>ROUND(NORMINV(Summary!M1023,VLOOKUP(A1022,Summary!$Q$13:$S$24,3,FALSE),VLOOKUP(A1022,Summary!$Q$13:$S$24,3,FALSE)/6),-1)</f>
        <v>900</v>
      </c>
      <c r="C1022" t="str">
        <f>IF(AND(H1022=0,C1021=Summary!$P$2),Summary!$Q$2,IF(AND(H1022=0,C1021=Summary!$Q$2),Summary!$R$2,C1021))</f>
        <v>Reed</v>
      </c>
      <c r="D1022" t="str">
        <f>IF(C1022=Summary!$P$26,VLOOKUP(Summary!M1029,Summary!$Q$26:$R$27,2),IF('Run Data'!C1022=Summary!$P$28,VLOOKUP(Summary!M1029,Summary!$Q$28:$R$29,2),VLOOKUP(Summary!M1029,Summary!$Q$30:$R$32,2)))</f>
        <v>Sprig 4</v>
      </c>
      <c r="E1022" t="str">
        <f>VLOOKUP(Summary!M1032,Summary!$P$42:$Q$43,2)</f>
        <v>86</v>
      </c>
      <c r="F1022">
        <f>IF(LEFT(A1022,3)="B60",20,IF(LEFT(A1022,3)="B12",30,25))+B1022*0.5+INT(Summary!M1035*20)</f>
        <v>489</v>
      </c>
      <c r="G1022">
        <f>ROUND(IF(OR(ISERROR(FIND(Summary!$P$89,CONCATENATE(C1022,D1022,E1022))),ISERROR(FIND(Summary!$Q$89,A1022))),Summary!$R$45,IF(H1022&gt;Summary!$V$3,Summary!$R$46,Summary!$R$45))*(B1022+30),0)</f>
        <v>9</v>
      </c>
      <c r="H1022">
        <f>IF(H1021&gt;Summary!$V$4,0,H1021+F1021)</f>
        <v>185783</v>
      </c>
      <c r="I1022" s="26">
        <f>DATE(YEAR(Summary!$V$2),MONTH(Summary!$V$2),DAY(Summary!$V$2)+INT(H1022/480))</f>
        <v>43977</v>
      </c>
      <c r="J1022" s="27">
        <f t="shared" si="16"/>
        <v>0.34930555555555554</v>
      </c>
    </row>
    <row r="1023" spans="1:10">
      <c r="A1023" t="str">
        <f>VLOOKUP(Summary!M1022,Summary!$P$13:$Q$24,2)</f>
        <v>B1200-plum</v>
      </c>
      <c r="B1023">
        <f>ROUND(NORMINV(Summary!M1024,VLOOKUP(A1023,Summary!$Q$13:$S$24,3,FALSE),VLOOKUP(A1023,Summary!$Q$13:$S$24,3,FALSE)/6),-1)</f>
        <v>450</v>
      </c>
      <c r="C1023" t="str">
        <f>IF(AND(H1023=0,C1022=Summary!$P$2),Summary!$Q$2,IF(AND(H1023=0,C1022=Summary!$Q$2),Summary!$R$2,C1022))</f>
        <v>Reed</v>
      </c>
      <c r="D1023" t="str">
        <f>IF(C1023=Summary!$P$26,VLOOKUP(Summary!M1030,Summary!$Q$26:$R$27,2),IF('Run Data'!C1023=Summary!$P$28,VLOOKUP(Summary!M1030,Summary!$Q$28:$R$29,2),VLOOKUP(Summary!M1030,Summary!$Q$30:$R$32,2)))</f>
        <v>Sprig 2</v>
      </c>
      <c r="E1023" t="str">
        <f>VLOOKUP(Summary!M1033,Summary!$P$42:$Q$43,2)</f>
        <v>86</v>
      </c>
      <c r="F1023">
        <f>IF(LEFT(A1023,3)="B60",20,IF(LEFT(A1023,3)="B12",30,25))+B1023*0.5+INT(Summary!M1036*20)</f>
        <v>271</v>
      </c>
      <c r="G1023">
        <f>ROUND(IF(OR(ISERROR(FIND(Summary!$P$89,CONCATENATE(C1023,D1023,E1023))),ISERROR(FIND(Summary!$Q$89,A1023))),Summary!$R$45,IF(H1023&gt;Summary!$V$3,Summary!$R$46,Summary!$R$45))*(B1023+30),0)</f>
        <v>5</v>
      </c>
      <c r="H1023">
        <f>IF(H1022&gt;Summary!$V$4,0,H1022+F1022)</f>
        <v>186272</v>
      </c>
      <c r="I1023" s="26">
        <f>DATE(YEAR(Summary!$V$2),MONTH(Summary!$V$2),DAY(Summary!$V$2)+INT(H1023/480))</f>
        <v>43978</v>
      </c>
      <c r="J1023" s="27">
        <f t="shared" si="16"/>
        <v>0.35555555555555557</v>
      </c>
    </row>
    <row r="1024" spans="1:10">
      <c r="A1024" t="str">
        <f>VLOOKUP(Summary!M1023,Summary!$P$13:$Q$24,2)</f>
        <v>B1700-sky</v>
      </c>
      <c r="B1024">
        <f>ROUND(NORMINV(Summary!M1025,VLOOKUP(A1024,Summary!$Q$13:$S$24,3,FALSE),VLOOKUP(A1024,Summary!$Q$13:$S$24,3,FALSE)/6),-1)</f>
        <v>520</v>
      </c>
      <c r="C1024" t="str">
        <f>IF(AND(H1024=0,C1023=Summary!$P$2),Summary!$Q$2,IF(AND(H1024=0,C1023=Summary!$Q$2),Summary!$R$2,C1023))</f>
        <v>Reed</v>
      </c>
      <c r="D1024" t="str">
        <f>IF(C1024=Summary!$P$26,VLOOKUP(Summary!M1031,Summary!$Q$26:$R$27,2),IF('Run Data'!C1024=Summary!$P$28,VLOOKUP(Summary!M1031,Summary!$Q$28:$R$29,2),VLOOKUP(Summary!M1031,Summary!$Q$30:$R$32,2)))</f>
        <v>Sprig 4</v>
      </c>
      <c r="E1024" t="str">
        <f>VLOOKUP(Summary!M1034,Summary!$P$42:$Q$43,2)</f>
        <v>86</v>
      </c>
      <c r="F1024">
        <f>IF(LEFT(A1024,3)="B60",20,IF(LEFT(A1024,3)="B12",30,25))+B1024*0.5+INT(Summary!M1037*20)</f>
        <v>296</v>
      </c>
      <c r="G1024">
        <f>ROUND(IF(OR(ISERROR(FIND(Summary!$P$89,CONCATENATE(C1024,D1024,E1024))),ISERROR(FIND(Summary!$Q$89,A1024))),Summary!$R$45,IF(H1024&gt;Summary!$V$3,Summary!$R$46,Summary!$R$45))*(B1024+30),0)</f>
        <v>66</v>
      </c>
      <c r="H1024">
        <f>IF(H1023&gt;Summary!$V$4,0,H1023+F1023)</f>
        <v>186543</v>
      </c>
      <c r="I1024" s="26">
        <f>DATE(YEAR(Summary!$V$2),MONTH(Summary!$V$2),DAY(Summary!$V$2)+INT(H1024/480))</f>
        <v>43978</v>
      </c>
      <c r="J1024" s="27">
        <f t="shared" si="16"/>
        <v>0.54375000000000007</v>
      </c>
    </row>
    <row r="1025" spans="1:10">
      <c r="A1025" t="str">
        <f>VLOOKUP(Summary!M1024,Summary!$P$13:$Q$24,2)</f>
        <v>B1200-fire</v>
      </c>
      <c r="B1025">
        <f>ROUND(NORMINV(Summary!M1026,VLOOKUP(A1025,Summary!$Q$13:$S$24,3,FALSE),VLOOKUP(A1025,Summary!$Q$13:$S$24,3,FALSE)/6),-1)</f>
        <v>1080</v>
      </c>
      <c r="C1025" t="str">
        <f>IF(AND(H1025=0,C1024=Summary!$P$2),Summary!$Q$2,IF(AND(H1025=0,C1024=Summary!$Q$2),Summary!$R$2,C1024))</f>
        <v>Reed</v>
      </c>
      <c r="D1025" t="str">
        <f>IF(C1025=Summary!$P$26,VLOOKUP(Summary!M1032,Summary!$Q$26:$R$27,2),IF('Run Data'!C1025=Summary!$P$28,VLOOKUP(Summary!M1032,Summary!$Q$28:$R$29,2),VLOOKUP(Summary!M1032,Summary!$Q$30:$R$32,2)))</f>
        <v>Sprig 4</v>
      </c>
      <c r="E1025" t="str">
        <f>VLOOKUP(Summary!M1035,Summary!$P$42:$Q$43,2)</f>
        <v>86</v>
      </c>
      <c r="F1025">
        <f>IF(LEFT(A1025,3)="B60",20,IF(LEFT(A1025,3)="B12",30,25))+B1025*0.5+INT(Summary!M1038*20)</f>
        <v>589</v>
      </c>
      <c r="G1025">
        <f>ROUND(IF(OR(ISERROR(FIND(Summary!$P$89,CONCATENATE(C1025,D1025,E1025))),ISERROR(FIND(Summary!$Q$89,A1025))),Summary!$R$45,IF(H1025&gt;Summary!$V$3,Summary!$R$46,Summary!$R$45))*(B1025+30),0)</f>
        <v>11</v>
      </c>
      <c r="H1025">
        <f>IF(H1024&gt;Summary!$V$4,0,H1024+F1024)</f>
        <v>186839</v>
      </c>
      <c r="I1025" s="26">
        <f>DATE(YEAR(Summary!$V$2),MONTH(Summary!$V$2),DAY(Summary!$V$2)+INT(H1025/480))</f>
        <v>43979</v>
      </c>
      <c r="J1025" s="27">
        <f t="shared" si="16"/>
        <v>0.41597222222222219</v>
      </c>
    </row>
    <row r="1026" spans="1:10">
      <c r="A1026" t="str">
        <f>VLOOKUP(Summary!M1025,Summary!$P$13:$Q$24,2)</f>
        <v>B1200-sky</v>
      </c>
      <c r="B1026">
        <f>ROUND(NORMINV(Summary!M1027,VLOOKUP(A1026,Summary!$Q$13:$S$24,3,FALSE),VLOOKUP(A1026,Summary!$Q$13:$S$24,3,FALSE)/6),-1)</f>
        <v>1620</v>
      </c>
      <c r="C1026" t="str">
        <f>IF(AND(H1026=0,C1025=Summary!$P$2),Summary!$Q$2,IF(AND(H1026=0,C1025=Summary!$Q$2),Summary!$R$2,C1025))</f>
        <v>Reed</v>
      </c>
      <c r="D1026" t="str">
        <f>IF(C1026=Summary!$P$26,VLOOKUP(Summary!M1033,Summary!$Q$26:$R$27,2),IF('Run Data'!C1026=Summary!$P$28,VLOOKUP(Summary!M1033,Summary!$Q$28:$R$29,2),VLOOKUP(Summary!M1033,Summary!$Q$30:$R$32,2)))</f>
        <v>Sprig 2</v>
      </c>
      <c r="E1026" t="str">
        <f>VLOOKUP(Summary!M1036,Summary!$P$42:$Q$43,2)</f>
        <v>86</v>
      </c>
      <c r="F1026">
        <f>IF(LEFT(A1026,3)="B60",20,IF(LEFT(A1026,3)="B12",30,25))+B1026*0.5+INT(Summary!M1039*20)</f>
        <v>848</v>
      </c>
      <c r="G1026">
        <f>ROUND(IF(OR(ISERROR(FIND(Summary!$P$89,CONCATENATE(C1026,D1026,E1026))),ISERROR(FIND(Summary!$Q$89,A1026))),Summary!$R$45,IF(H1026&gt;Summary!$V$3,Summary!$R$46,Summary!$R$45))*(B1026+30),0)</f>
        <v>17</v>
      </c>
      <c r="H1026">
        <f>IF(H1025&gt;Summary!$V$4,0,H1025+F1025)</f>
        <v>187428</v>
      </c>
      <c r="I1026" s="26">
        <f>DATE(YEAR(Summary!$V$2),MONTH(Summary!$V$2),DAY(Summary!$V$2)+INT(H1026/480))</f>
        <v>43980</v>
      </c>
      <c r="J1026" s="27">
        <f t="shared" si="16"/>
        <v>0.4916666666666667</v>
      </c>
    </row>
    <row r="1027" spans="1:10">
      <c r="A1027" t="str">
        <f>VLOOKUP(Summary!M1026,Summary!$P$13:$Q$24,2)</f>
        <v>B1200-plum</v>
      </c>
      <c r="B1027">
        <f>ROUND(NORMINV(Summary!M1028,VLOOKUP(A1027,Summary!$Q$13:$S$24,3,FALSE),VLOOKUP(A1027,Summary!$Q$13:$S$24,3,FALSE)/6),-1)</f>
        <v>340</v>
      </c>
      <c r="C1027" t="str">
        <f>IF(AND(H1027=0,C1026=Summary!$P$2),Summary!$Q$2,IF(AND(H1027=0,C1026=Summary!$Q$2),Summary!$R$2,C1026))</f>
        <v>Reed</v>
      </c>
      <c r="D1027" t="str">
        <f>IF(C1027=Summary!$P$26,VLOOKUP(Summary!M1034,Summary!$Q$26:$R$27,2),IF('Run Data'!C1027=Summary!$P$28,VLOOKUP(Summary!M1034,Summary!$Q$28:$R$29,2),VLOOKUP(Summary!M1034,Summary!$Q$30:$R$32,2)))</f>
        <v>Sprig 2</v>
      </c>
      <c r="E1027" t="str">
        <f>VLOOKUP(Summary!M1037,Summary!$P$42:$Q$43,2)</f>
        <v>86</v>
      </c>
      <c r="F1027">
        <f>IF(LEFT(A1027,3)="B60",20,IF(LEFT(A1027,3)="B12",30,25))+B1027*0.5+INT(Summary!M1040*20)</f>
        <v>202</v>
      </c>
      <c r="G1027">
        <f>ROUND(IF(OR(ISERROR(FIND(Summary!$P$89,CONCATENATE(C1027,D1027,E1027))),ISERROR(FIND(Summary!$Q$89,A1027))),Summary!$R$45,IF(H1027&gt;Summary!$V$3,Summary!$R$46,Summary!$R$45))*(B1027+30),0)</f>
        <v>4</v>
      </c>
      <c r="H1027">
        <f>IF(H1026&gt;Summary!$V$4,0,H1026+F1026)</f>
        <v>188276</v>
      </c>
      <c r="I1027" s="26">
        <f>DATE(YEAR(Summary!$V$2),MONTH(Summary!$V$2),DAY(Summary!$V$2)+INT(H1027/480))</f>
        <v>43982</v>
      </c>
      <c r="J1027" s="27">
        <f t="shared" si="16"/>
        <v>0.41388888888888892</v>
      </c>
    </row>
    <row r="1028" spans="1:10">
      <c r="A1028" t="str">
        <f>VLOOKUP(Summary!M1027,Summary!$P$13:$Q$24,2)</f>
        <v>B1700-lime</v>
      </c>
      <c r="B1028">
        <f>ROUND(NORMINV(Summary!M1029,VLOOKUP(A1028,Summary!$Q$13:$S$24,3,FALSE),VLOOKUP(A1028,Summary!$Q$13:$S$24,3,FALSE)/6),-1)</f>
        <v>460</v>
      </c>
      <c r="C1028" t="str">
        <f>IF(AND(H1028=0,C1027=Summary!$P$2),Summary!$Q$2,IF(AND(H1028=0,C1027=Summary!$Q$2),Summary!$R$2,C1027))</f>
        <v>Jared</v>
      </c>
      <c r="D1028" t="str">
        <f>IF(C1028=Summary!$P$26,VLOOKUP(Summary!M1035,Summary!$Q$26:$R$27,2),IF('Run Data'!C1028=Summary!$P$28,VLOOKUP(Summary!M1035,Summary!$Q$28:$R$29,2),VLOOKUP(Summary!M1035,Summary!$Q$30:$R$32,2)))</f>
        <v>Sprig 2</v>
      </c>
      <c r="E1028" t="str">
        <f>VLOOKUP(Summary!M1038,Summary!$P$42:$Q$43,2)</f>
        <v>87b</v>
      </c>
      <c r="F1028">
        <f>IF(LEFT(A1028,3)="B60",20,IF(LEFT(A1028,3)="B12",30,25))+B1028*0.5+INT(Summary!M1041*20)</f>
        <v>259</v>
      </c>
      <c r="G1028">
        <f>ROUND(IF(OR(ISERROR(FIND(Summary!$P$89,CONCATENATE(C1028,D1028,E1028))),ISERROR(FIND(Summary!$Q$89,A1028))),Summary!$R$45,IF(H1028&gt;Summary!$V$3,Summary!$R$46,Summary!$R$45))*(B1028+30),0)</f>
        <v>5</v>
      </c>
      <c r="H1028">
        <f>IF(H1027&gt;Summary!$V$4,0,H1027+F1027)</f>
        <v>0</v>
      </c>
      <c r="I1028" s="26">
        <f>DATE(YEAR(Summary!$V$2),MONTH(Summary!$V$2),DAY(Summary!$V$2)+INT(H1028/480))</f>
        <v>43590</v>
      </c>
      <c r="J1028" s="27">
        <f t="shared" si="16"/>
        <v>0.33333333333333331</v>
      </c>
    </row>
    <row r="1029" spans="1:10">
      <c r="A1029" t="str">
        <f>VLOOKUP(Summary!M1028,Summary!$P$13:$Q$24,2)</f>
        <v>B600-sky</v>
      </c>
      <c r="B1029">
        <f>ROUND(NORMINV(Summary!M1030,VLOOKUP(A1029,Summary!$Q$13:$S$24,3,FALSE),VLOOKUP(A1029,Summary!$Q$13:$S$24,3,FALSE)/6),-1)</f>
        <v>530</v>
      </c>
      <c r="C1029" t="str">
        <f>IF(AND(H1029=0,C1028=Summary!$P$2),Summary!$Q$2,IF(AND(H1029=0,C1028=Summary!$Q$2),Summary!$R$2,C1028))</f>
        <v>Jared</v>
      </c>
      <c r="D1029" t="str">
        <f>IF(C1029=Summary!$P$26,VLOOKUP(Summary!M1036,Summary!$Q$26:$R$27,2),IF('Run Data'!C1029=Summary!$P$28,VLOOKUP(Summary!M1036,Summary!$Q$28:$R$29,2),VLOOKUP(Summary!M1036,Summary!$Q$30:$R$32,2)))</f>
        <v>Sprig 3</v>
      </c>
      <c r="E1029" t="str">
        <f>VLOOKUP(Summary!M1039,Summary!$P$42:$Q$43,2)</f>
        <v>86</v>
      </c>
      <c r="F1029">
        <f>IF(LEFT(A1029,3)="B60",20,IF(LEFT(A1029,3)="B12",30,25))+B1029*0.5+INT(Summary!M1042*20)</f>
        <v>290</v>
      </c>
      <c r="G1029">
        <f>ROUND(IF(OR(ISERROR(FIND(Summary!$P$89,CONCATENATE(C1029,D1029,E1029))),ISERROR(FIND(Summary!$Q$89,A1029))),Summary!$R$45,IF(H1029&gt;Summary!$V$3,Summary!$R$46,Summary!$R$45))*(B1029+30),0)</f>
        <v>6</v>
      </c>
      <c r="H1029">
        <f>IF(H1028&gt;Summary!$V$4,0,H1028+F1028)</f>
        <v>259</v>
      </c>
      <c r="I1029" s="26">
        <f>DATE(YEAR(Summary!$V$2),MONTH(Summary!$V$2),DAY(Summary!$V$2)+INT(H1029/480))</f>
        <v>43590</v>
      </c>
      <c r="J1029" s="27">
        <f t="shared" si="16"/>
        <v>0.5131944444444444</v>
      </c>
    </row>
    <row r="1030" spans="1:10">
      <c r="A1030" t="str">
        <f>VLOOKUP(Summary!M1029,Summary!$P$13:$Q$24,2)</f>
        <v>B1700-sky</v>
      </c>
      <c r="B1030">
        <f>ROUND(NORMINV(Summary!M1031,VLOOKUP(A1030,Summary!$Q$13:$S$24,3,FALSE),VLOOKUP(A1030,Summary!$Q$13:$S$24,3,FALSE)/6),-1)</f>
        <v>640</v>
      </c>
      <c r="C1030" t="str">
        <f>IF(AND(H1030=0,C1029=Summary!$P$2),Summary!$Q$2,IF(AND(H1030=0,C1029=Summary!$Q$2),Summary!$R$2,C1029))</f>
        <v>Jared</v>
      </c>
      <c r="D1030" t="str">
        <f>IF(C1030=Summary!$P$26,VLOOKUP(Summary!M1037,Summary!$Q$26:$R$27,2),IF('Run Data'!C1030=Summary!$P$28,VLOOKUP(Summary!M1037,Summary!$Q$28:$R$29,2),VLOOKUP(Summary!M1037,Summary!$Q$30:$R$32,2)))</f>
        <v>Sprig 2</v>
      </c>
      <c r="E1030" t="str">
        <f>VLOOKUP(Summary!M1040,Summary!$P$42:$Q$43,2)</f>
        <v>86</v>
      </c>
      <c r="F1030">
        <f>IF(LEFT(A1030,3)="B60",20,IF(LEFT(A1030,3)="B12",30,25))+B1030*0.5+INT(Summary!M1043*20)</f>
        <v>350</v>
      </c>
      <c r="G1030">
        <f>ROUND(IF(OR(ISERROR(FIND(Summary!$P$89,CONCATENATE(C1030,D1030,E1030))),ISERROR(FIND(Summary!$Q$89,A1030))),Summary!$R$45,IF(H1030&gt;Summary!$V$3,Summary!$R$46,Summary!$R$45))*(B1030+30),0)</f>
        <v>7</v>
      </c>
      <c r="H1030">
        <f>IF(H1029&gt;Summary!$V$4,0,H1029+F1029)</f>
        <v>549</v>
      </c>
      <c r="I1030" s="26">
        <f>DATE(YEAR(Summary!$V$2),MONTH(Summary!$V$2),DAY(Summary!$V$2)+INT(H1030/480))</f>
        <v>43591</v>
      </c>
      <c r="J1030" s="27">
        <f t="shared" si="16"/>
        <v>0.38125000000000003</v>
      </c>
    </row>
    <row r="1031" spans="1:10">
      <c r="A1031" t="str">
        <f>VLOOKUP(Summary!M1030,Summary!$P$13:$Q$24,2)</f>
        <v>B1200-lime</v>
      </c>
      <c r="B1031">
        <f>ROUND(NORMINV(Summary!M1032,VLOOKUP(A1031,Summary!$Q$13:$S$24,3,FALSE),VLOOKUP(A1031,Summary!$Q$13:$S$24,3,FALSE)/6),-1)</f>
        <v>920</v>
      </c>
      <c r="C1031" t="str">
        <f>IF(AND(H1031=0,C1030=Summary!$P$2),Summary!$Q$2,IF(AND(H1031=0,C1030=Summary!$Q$2),Summary!$R$2,C1030))</f>
        <v>Jared</v>
      </c>
      <c r="D1031" t="str">
        <f>IF(C1031=Summary!$P$26,VLOOKUP(Summary!M1038,Summary!$Q$26:$R$27,2),IF('Run Data'!C1031=Summary!$P$28,VLOOKUP(Summary!M1038,Summary!$Q$28:$R$29,2),VLOOKUP(Summary!M1038,Summary!$Q$30:$R$32,2)))</f>
        <v>Sprig 3</v>
      </c>
      <c r="E1031" t="str">
        <f>VLOOKUP(Summary!M1041,Summary!$P$42:$Q$43,2)</f>
        <v>86</v>
      </c>
      <c r="F1031">
        <f>IF(LEFT(A1031,3)="B60",20,IF(LEFT(A1031,3)="B12",30,25))+B1031*0.5+INT(Summary!M1044*20)</f>
        <v>496</v>
      </c>
      <c r="G1031">
        <f>ROUND(IF(OR(ISERROR(FIND(Summary!$P$89,CONCATENATE(C1031,D1031,E1031))),ISERROR(FIND(Summary!$Q$89,A1031))),Summary!$R$45,IF(H1031&gt;Summary!$V$3,Summary!$R$46,Summary!$R$45))*(B1031+30),0)</f>
        <v>10</v>
      </c>
      <c r="H1031">
        <f>IF(H1030&gt;Summary!$V$4,0,H1030+F1030)</f>
        <v>899</v>
      </c>
      <c r="I1031" s="26">
        <f>DATE(YEAR(Summary!$V$2),MONTH(Summary!$V$2),DAY(Summary!$V$2)+INT(H1031/480))</f>
        <v>43591</v>
      </c>
      <c r="J1031" s="27">
        <f t="shared" si="16"/>
        <v>0.62430555555555556</v>
      </c>
    </row>
    <row r="1032" spans="1:10">
      <c r="A1032" t="str">
        <f>VLOOKUP(Summary!M1031,Summary!$P$13:$Q$24,2)</f>
        <v>B1700-sky</v>
      </c>
      <c r="B1032">
        <f>ROUND(NORMINV(Summary!M1033,VLOOKUP(A1032,Summary!$Q$13:$S$24,3,FALSE),VLOOKUP(A1032,Summary!$Q$13:$S$24,3,FALSE)/6),-1)</f>
        <v>600</v>
      </c>
      <c r="C1032" t="str">
        <f>IF(AND(H1032=0,C1031=Summary!$P$2),Summary!$Q$2,IF(AND(H1032=0,C1031=Summary!$Q$2),Summary!$R$2,C1031))</f>
        <v>Jared</v>
      </c>
      <c r="D1032" t="str">
        <f>IF(C1032=Summary!$P$26,VLOOKUP(Summary!M1039,Summary!$Q$26:$R$27,2),IF('Run Data'!C1032=Summary!$P$28,VLOOKUP(Summary!M1039,Summary!$Q$28:$R$29,2),VLOOKUP(Summary!M1039,Summary!$Q$30:$R$32,2)))</f>
        <v>Sprig 2</v>
      </c>
      <c r="E1032" t="str">
        <f>VLOOKUP(Summary!M1042,Summary!$P$42:$Q$43,2)</f>
        <v>86</v>
      </c>
      <c r="F1032">
        <f>IF(LEFT(A1032,3)="B60",20,IF(LEFT(A1032,3)="B12",30,25))+B1032*0.5+INT(Summary!M1045*20)</f>
        <v>330</v>
      </c>
      <c r="G1032">
        <f>ROUND(IF(OR(ISERROR(FIND(Summary!$P$89,CONCATENATE(C1032,D1032,E1032))),ISERROR(FIND(Summary!$Q$89,A1032))),Summary!$R$45,IF(H1032&gt;Summary!$V$3,Summary!$R$46,Summary!$R$45))*(B1032+30),0)</f>
        <v>6</v>
      </c>
      <c r="H1032">
        <f>IF(H1031&gt;Summary!$V$4,0,H1031+F1031)</f>
        <v>1395</v>
      </c>
      <c r="I1032" s="26">
        <f>DATE(YEAR(Summary!$V$2),MONTH(Summary!$V$2),DAY(Summary!$V$2)+INT(H1032/480))</f>
        <v>43592</v>
      </c>
      <c r="J1032" s="27">
        <f t="shared" si="16"/>
        <v>0.63541666666666663</v>
      </c>
    </row>
    <row r="1033" spans="1:10">
      <c r="A1033" t="str">
        <f>VLOOKUP(Summary!M1032,Summary!$P$13:$Q$24,2)</f>
        <v>B1700-sky</v>
      </c>
      <c r="B1033">
        <f>ROUND(NORMINV(Summary!M1034,VLOOKUP(A1033,Summary!$Q$13:$S$24,3,FALSE),VLOOKUP(A1033,Summary!$Q$13:$S$24,3,FALSE)/6),-1)</f>
        <v>600</v>
      </c>
      <c r="C1033" t="str">
        <f>IF(AND(H1033=0,C1032=Summary!$P$2),Summary!$Q$2,IF(AND(H1033=0,C1032=Summary!$Q$2),Summary!$R$2,C1032))</f>
        <v>Jared</v>
      </c>
      <c r="D1033" t="str">
        <f>IF(C1033=Summary!$P$26,VLOOKUP(Summary!M1040,Summary!$Q$26:$R$27,2),IF('Run Data'!C1033=Summary!$P$28,VLOOKUP(Summary!M1040,Summary!$Q$28:$R$29,2),VLOOKUP(Summary!M1040,Summary!$Q$30:$R$32,2)))</f>
        <v>Sprig 1</v>
      </c>
      <c r="E1033" t="str">
        <f>VLOOKUP(Summary!M1043,Summary!$P$42:$Q$43,2)</f>
        <v>86</v>
      </c>
      <c r="F1033">
        <f>IF(LEFT(A1033,3)="B60",20,IF(LEFT(A1033,3)="B12",30,25))+B1033*0.5+INT(Summary!M1046*20)</f>
        <v>332</v>
      </c>
      <c r="G1033">
        <f>ROUND(IF(OR(ISERROR(FIND(Summary!$P$89,CONCATENATE(C1033,D1033,E1033))),ISERROR(FIND(Summary!$Q$89,A1033))),Summary!$R$45,IF(H1033&gt;Summary!$V$3,Summary!$R$46,Summary!$R$45))*(B1033+30),0)</f>
        <v>6</v>
      </c>
      <c r="H1033">
        <f>IF(H1032&gt;Summary!$V$4,0,H1032+F1032)</f>
        <v>1725</v>
      </c>
      <c r="I1033" s="26">
        <f>DATE(YEAR(Summary!$V$2),MONTH(Summary!$V$2),DAY(Summary!$V$2)+INT(H1033/480))</f>
        <v>43593</v>
      </c>
      <c r="J1033" s="27">
        <f t="shared" si="16"/>
        <v>0.53125</v>
      </c>
    </row>
    <row r="1034" spans="1:10">
      <c r="A1034" t="str">
        <f>VLOOKUP(Summary!M1033,Summary!$P$13:$Q$24,2)</f>
        <v>B1700-plum</v>
      </c>
      <c r="B1034">
        <f>ROUND(NORMINV(Summary!M1035,VLOOKUP(A1034,Summary!$Q$13:$S$24,3,FALSE),VLOOKUP(A1034,Summary!$Q$13:$S$24,3,FALSE)/6),-1)</f>
        <v>290</v>
      </c>
      <c r="C1034" t="str">
        <f>IF(AND(H1034=0,C1033=Summary!$P$2),Summary!$Q$2,IF(AND(H1034=0,C1033=Summary!$Q$2),Summary!$R$2,C1033))</f>
        <v>Jared</v>
      </c>
      <c r="D1034" t="str">
        <f>IF(C1034=Summary!$P$26,VLOOKUP(Summary!M1041,Summary!$Q$26:$R$27,2),IF('Run Data'!C1034=Summary!$P$28,VLOOKUP(Summary!M1041,Summary!$Q$28:$R$29,2),VLOOKUP(Summary!M1041,Summary!$Q$30:$R$32,2)))</f>
        <v>Sprig 2</v>
      </c>
      <c r="E1034" t="str">
        <f>VLOOKUP(Summary!M1044,Summary!$P$42:$Q$43,2)</f>
        <v>86</v>
      </c>
      <c r="F1034">
        <f>IF(LEFT(A1034,3)="B60",20,IF(LEFT(A1034,3)="B12",30,25))+B1034*0.5+INT(Summary!M1047*20)</f>
        <v>173</v>
      </c>
      <c r="G1034">
        <f>ROUND(IF(OR(ISERROR(FIND(Summary!$P$89,CONCATENATE(C1034,D1034,E1034))),ISERROR(FIND(Summary!$Q$89,A1034))),Summary!$R$45,IF(H1034&gt;Summary!$V$3,Summary!$R$46,Summary!$R$45))*(B1034+30),0)</f>
        <v>3</v>
      </c>
      <c r="H1034">
        <f>IF(H1033&gt;Summary!$V$4,0,H1033+F1033)</f>
        <v>2057</v>
      </c>
      <c r="I1034" s="26">
        <f>DATE(YEAR(Summary!$V$2),MONTH(Summary!$V$2),DAY(Summary!$V$2)+INT(H1034/480))</f>
        <v>43594</v>
      </c>
      <c r="J1034" s="27">
        <f t="shared" si="16"/>
        <v>0.4284722222222222</v>
      </c>
    </row>
    <row r="1035" spans="1:10">
      <c r="A1035" t="str">
        <f>VLOOKUP(Summary!M1034,Summary!$P$13:$Q$24,2)</f>
        <v>B1200-lime</v>
      </c>
      <c r="B1035">
        <f>ROUND(NORMINV(Summary!M1036,VLOOKUP(A1035,Summary!$Q$13:$S$24,3,FALSE),VLOOKUP(A1035,Summary!$Q$13:$S$24,3,FALSE)/6),-1)</f>
        <v>940</v>
      </c>
      <c r="C1035" t="str">
        <f>IF(AND(H1035=0,C1034=Summary!$P$2),Summary!$Q$2,IF(AND(H1035=0,C1034=Summary!$Q$2),Summary!$R$2,C1034))</f>
        <v>Jared</v>
      </c>
      <c r="D1035" t="str">
        <f>IF(C1035=Summary!$P$26,VLOOKUP(Summary!M1042,Summary!$Q$26:$R$27,2),IF('Run Data'!C1035=Summary!$P$28,VLOOKUP(Summary!M1042,Summary!$Q$28:$R$29,2),VLOOKUP(Summary!M1042,Summary!$Q$30:$R$32,2)))</f>
        <v>Sprig 2</v>
      </c>
      <c r="E1035" t="str">
        <f>VLOOKUP(Summary!M1045,Summary!$P$42:$Q$43,2)</f>
        <v>86</v>
      </c>
      <c r="F1035">
        <f>IF(LEFT(A1035,3)="B60",20,IF(LEFT(A1035,3)="B12",30,25))+B1035*0.5+INT(Summary!M1048*20)</f>
        <v>516</v>
      </c>
      <c r="G1035">
        <f>ROUND(IF(OR(ISERROR(FIND(Summary!$P$89,CONCATENATE(C1035,D1035,E1035))),ISERROR(FIND(Summary!$Q$89,A1035))),Summary!$R$45,IF(H1035&gt;Summary!$V$3,Summary!$R$46,Summary!$R$45))*(B1035+30),0)</f>
        <v>10</v>
      </c>
      <c r="H1035">
        <f>IF(H1034&gt;Summary!$V$4,0,H1034+F1034)</f>
        <v>2230</v>
      </c>
      <c r="I1035" s="26">
        <f>DATE(YEAR(Summary!$V$2),MONTH(Summary!$V$2),DAY(Summary!$V$2)+INT(H1035/480))</f>
        <v>43594</v>
      </c>
      <c r="J1035" s="27">
        <f t="shared" si="16"/>
        <v>0.54861111111111105</v>
      </c>
    </row>
    <row r="1036" spans="1:10">
      <c r="A1036" t="str">
        <f>VLOOKUP(Summary!M1035,Summary!$P$13:$Q$24,2)</f>
        <v>B1200-fire</v>
      </c>
      <c r="B1036">
        <f>ROUND(NORMINV(Summary!M1037,VLOOKUP(A1036,Summary!$Q$13:$S$24,3,FALSE),VLOOKUP(A1036,Summary!$Q$13:$S$24,3,FALSE)/6),-1)</f>
        <v>1230</v>
      </c>
      <c r="C1036" t="str">
        <f>IF(AND(H1036=0,C1035=Summary!$P$2),Summary!$Q$2,IF(AND(H1036=0,C1035=Summary!$Q$2),Summary!$R$2,C1035))</f>
        <v>Jared</v>
      </c>
      <c r="D1036" t="str">
        <f>IF(C1036=Summary!$P$26,VLOOKUP(Summary!M1043,Summary!$Q$26:$R$27,2),IF('Run Data'!C1036=Summary!$P$28,VLOOKUP(Summary!M1043,Summary!$Q$28:$R$29,2),VLOOKUP(Summary!M1043,Summary!$Q$30:$R$32,2)))</f>
        <v>Sprig 2</v>
      </c>
      <c r="E1036" t="str">
        <f>VLOOKUP(Summary!M1046,Summary!$P$42:$Q$43,2)</f>
        <v>86</v>
      </c>
      <c r="F1036">
        <f>IF(LEFT(A1036,3)="B60",20,IF(LEFT(A1036,3)="B12",30,25))+B1036*0.5+INT(Summary!M1049*20)</f>
        <v>651</v>
      </c>
      <c r="G1036">
        <f>ROUND(IF(OR(ISERROR(FIND(Summary!$P$89,CONCATENATE(C1036,D1036,E1036))),ISERROR(FIND(Summary!$Q$89,A1036))),Summary!$R$45,IF(H1036&gt;Summary!$V$3,Summary!$R$46,Summary!$R$45))*(B1036+30),0)</f>
        <v>13</v>
      </c>
      <c r="H1036">
        <f>IF(H1035&gt;Summary!$V$4,0,H1035+F1035)</f>
        <v>2746</v>
      </c>
      <c r="I1036" s="26">
        <f>DATE(YEAR(Summary!$V$2),MONTH(Summary!$V$2),DAY(Summary!$V$2)+INT(H1036/480))</f>
        <v>43595</v>
      </c>
      <c r="J1036" s="27">
        <f t="shared" si="16"/>
        <v>0.57361111111111118</v>
      </c>
    </row>
    <row r="1037" spans="1:10">
      <c r="A1037" t="str">
        <f>VLOOKUP(Summary!M1036,Summary!$P$13:$Q$24,2)</f>
        <v>B1700-sky</v>
      </c>
      <c r="B1037">
        <f>ROUND(NORMINV(Summary!M1038,VLOOKUP(A1037,Summary!$Q$13:$S$24,3,FALSE),VLOOKUP(A1037,Summary!$Q$13:$S$24,3,FALSE)/6),-1)</f>
        <v>750</v>
      </c>
      <c r="C1037" t="str">
        <f>IF(AND(H1037=0,C1036=Summary!$P$2),Summary!$Q$2,IF(AND(H1037=0,C1036=Summary!$Q$2),Summary!$R$2,C1036))</f>
        <v>Jared</v>
      </c>
      <c r="D1037" t="str">
        <f>IF(C1037=Summary!$P$26,VLOOKUP(Summary!M1044,Summary!$Q$26:$R$27,2),IF('Run Data'!C1037=Summary!$P$28,VLOOKUP(Summary!M1044,Summary!$Q$28:$R$29,2),VLOOKUP(Summary!M1044,Summary!$Q$30:$R$32,2)))</f>
        <v>Sprig 2</v>
      </c>
      <c r="E1037" t="str">
        <f>VLOOKUP(Summary!M1047,Summary!$P$42:$Q$43,2)</f>
        <v>86</v>
      </c>
      <c r="F1037">
        <f>IF(LEFT(A1037,3)="B60",20,IF(LEFT(A1037,3)="B12",30,25))+B1037*0.5+INT(Summary!M1050*20)</f>
        <v>414</v>
      </c>
      <c r="G1037">
        <f>ROUND(IF(OR(ISERROR(FIND(Summary!$P$89,CONCATENATE(C1037,D1037,E1037))),ISERROR(FIND(Summary!$Q$89,A1037))),Summary!$R$45,IF(H1037&gt;Summary!$V$3,Summary!$R$46,Summary!$R$45))*(B1037+30),0)</f>
        <v>8</v>
      </c>
      <c r="H1037">
        <f>IF(H1036&gt;Summary!$V$4,0,H1036+F1036)</f>
        <v>3397</v>
      </c>
      <c r="I1037" s="26">
        <f>DATE(YEAR(Summary!$V$2),MONTH(Summary!$V$2),DAY(Summary!$V$2)+INT(H1037/480))</f>
        <v>43597</v>
      </c>
      <c r="J1037" s="27">
        <f t="shared" si="16"/>
        <v>0.35902777777777778</v>
      </c>
    </row>
    <row r="1038" spans="1:10">
      <c r="A1038" t="str">
        <f>VLOOKUP(Summary!M1037,Summary!$P$13:$Q$24,2)</f>
        <v>B1200-lime</v>
      </c>
      <c r="B1038">
        <f>ROUND(NORMINV(Summary!M1039,VLOOKUP(A1038,Summary!$Q$13:$S$24,3,FALSE),VLOOKUP(A1038,Summary!$Q$13:$S$24,3,FALSE)/6),-1)</f>
        <v>770</v>
      </c>
      <c r="C1038" t="str">
        <f>IF(AND(H1038=0,C1037=Summary!$P$2),Summary!$Q$2,IF(AND(H1038=0,C1037=Summary!$Q$2),Summary!$R$2,C1037))</f>
        <v>Jared</v>
      </c>
      <c r="D1038" t="str">
        <f>IF(C1038=Summary!$P$26,VLOOKUP(Summary!M1045,Summary!$Q$26:$R$27,2),IF('Run Data'!C1038=Summary!$P$28,VLOOKUP(Summary!M1045,Summary!$Q$28:$R$29,2),VLOOKUP(Summary!M1045,Summary!$Q$30:$R$32,2)))</f>
        <v>Sprig 2</v>
      </c>
      <c r="E1038" t="str">
        <f>VLOOKUP(Summary!M1048,Summary!$P$42:$Q$43,2)</f>
        <v>86</v>
      </c>
      <c r="F1038">
        <f>IF(LEFT(A1038,3)="B60",20,IF(LEFT(A1038,3)="B12",30,25))+B1038*0.5+INT(Summary!M1051*20)</f>
        <v>428</v>
      </c>
      <c r="G1038">
        <f>ROUND(IF(OR(ISERROR(FIND(Summary!$P$89,CONCATENATE(C1038,D1038,E1038))),ISERROR(FIND(Summary!$Q$89,A1038))),Summary!$R$45,IF(H1038&gt;Summary!$V$3,Summary!$R$46,Summary!$R$45))*(B1038+30),0)</f>
        <v>8</v>
      </c>
      <c r="H1038">
        <f>IF(H1037&gt;Summary!$V$4,0,H1037+F1037)</f>
        <v>3811</v>
      </c>
      <c r="I1038" s="26">
        <f>DATE(YEAR(Summary!$V$2),MONTH(Summary!$V$2),DAY(Summary!$V$2)+INT(H1038/480))</f>
        <v>43597</v>
      </c>
      <c r="J1038" s="27">
        <f t="shared" si="16"/>
        <v>0.64652777777777781</v>
      </c>
    </row>
    <row r="1039" spans="1:10">
      <c r="A1039" t="str">
        <f>VLOOKUP(Summary!M1038,Summary!$P$13:$Q$24,2)</f>
        <v>B1700-lime</v>
      </c>
      <c r="B1039">
        <f>ROUND(NORMINV(Summary!M1040,VLOOKUP(A1039,Summary!$Q$13:$S$24,3,FALSE),VLOOKUP(A1039,Summary!$Q$13:$S$24,3,FALSE)/6),-1)</f>
        <v>330</v>
      </c>
      <c r="C1039" t="str">
        <f>IF(AND(H1039=0,C1038=Summary!$P$2),Summary!$Q$2,IF(AND(H1039=0,C1038=Summary!$Q$2),Summary!$R$2,C1038))</f>
        <v>Jared</v>
      </c>
      <c r="D1039" t="str">
        <f>IF(C1039=Summary!$P$26,VLOOKUP(Summary!M1046,Summary!$Q$26:$R$27,2),IF('Run Data'!C1039=Summary!$P$28,VLOOKUP(Summary!M1046,Summary!$Q$28:$R$29,2),VLOOKUP(Summary!M1046,Summary!$Q$30:$R$32,2)))</f>
        <v>Sprig 2</v>
      </c>
      <c r="E1039" t="str">
        <f>VLOOKUP(Summary!M1049,Summary!$P$42:$Q$43,2)</f>
        <v>86</v>
      </c>
      <c r="F1039">
        <f>IF(LEFT(A1039,3)="B60",20,IF(LEFT(A1039,3)="B12",30,25))+B1039*0.5+INT(Summary!M1052*20)</f>
        <v>193</v>
      </c>
      <c r="G1039">
        <f>ROUND(IF(OR(ISERROR(FIND(Summary!$P$89,CONCATENATE(C1039,D1039,E1039))),ISERROR(FIND(Summary!$Q$89,A1039))),Summary!$R$45,IF(H1039&gt;Summary!$V$3,Summary!$R$46,Summary!$R$45))*(B1039+30),0)</f>
        <v>4</v>
      </c>
      <c r="H1039">
        <f>IF(H1038&gt;Summary!$V$4,0,H1038+F1038)</f>
        <v>4239</v>
      </c>
      <c r="I1039" s="26">
        <f>DATE(YEAR(Summary!$V$2),MONTH(Summary!$V$2),DAY(Summary!$V$2)+INT(H1039/480))</f>
        <v>43598</v>
      </c>
      <c r="J1039" s="27">
        <f t="shared" si="16"/>
        <v>0.61041666666666672</v>
      </c>
    </row>
    <row r="1040" spans="1:10">
      <c r="A1040" t="str">
        <f>VLOOKUP(Summary!M1039,Summary!$P$13:$Q$24,2)</f>
        <v>B1200-sky</v>
      </c>
      <c r="B1040">
        <f>ROUND(NORMINV(Summary!M1041,VLOOKUP(A1040,Summary!$Q$13:$S$24,3,FALSE),VLOOKUP(A1040,Summary!$Q$13:$S$24,3,FALSE)/6),-1)</f>
        <v>1040</v>
      </c>
      <c r="C1040" t="str">
        <f>IF(AND(H1040=0,C1039=Summary!$P$2),Summary!$Q$2,IF(AND(H1040=0,C1039=Summary!$Q$2),Summary!$R$2,C1039))</f>
        <v>Jared</v>
      </c>
      <c r="D1040" t="str">
        <f>IF(C1040=Summary!$P$26,VLOOKUP(Summary!M1047,Summary!$Q$26:$R$27,2),IF('Run Data'!C1040=Summary!$P$28,VLOOKUP(Summary!M1047,Summary!$Q$28:$R$29,2),VLOOKUP(Summary!M1047,Summary!$Q$30:$R$32,2)))</f>
        <v>Sprig 1</v>
      </c>
      <c r="E1040" t="str">
        <f>VLOOKUP(Summary!M1050,Summary!$P$42:$Q$43,2)</f>
        <v>86</v>
      </c>
      <c r="F1040">
        <f>IF(LEFT(A1040,3)="B60",20,IF(LEFT(A1040,3)="B12",30,25))+B1040*0.5+INT(Summary!M1053*20)</f>
        <v>561</v>
      </c>
      <c r="G1040">
        <f>ROUND(IF(OR(ISERROR(FIND(Summary!$P$89,CONCATENATE(C1040,D1040,E1040))),ISERROR(FIND(Summary!$Q$89,A1040))),Summary!$R$45,IF(H1040&gt;Summary!$V$3,Summary!$R$46,Summary!$R$45))*(B1040+30),0)</f>
        <v>11</v>
      </c>
      <c r="H1040">
        <f>IF(H1039&gt;Summary!$V$4,0,H1039+F1039)</f>
        <v>4432</v>
      </c>
      <c r="I1040" s="26">
        <f>DATE(YEAR(Summary!$V$2),MONTH(Summary!$V$2),DAY(Summary!$V$2)+INT(H1040/480))</f>
        <v>43599</v>
      </c>
      <c r="J1040" s="27">
        <f t="shared" si="16"/>
        <v>0.41111111111111115</v>
      </c>
    </row>
    <row r="1041" spans="1:10">
      <c r="A1041" t="str">
        <f>VLOOKUP(Summary!M1040,Summary!$P$13:$Q$24,2)</f>
        <v>B600-fire</v>
      </c>
      <c r="B1041">
        <f>ROUND(NORMINV(Summary!M1042,VLOOKUP(A1041,Summary!$Q$13:$S$24,3,FALSE),VLOOKUP(A1041,Summary!$Q$13:$S$24,3,FALSE)/6),-1)</f>
        <v>360</v>
      </c>
      <c r="C1041" t="str">
        <f>IF(AND(H1041=0,C1040=Summary!$P$2),Summary!$Q$2,IF(AND(H1041=0,C1040=Summary!$Q$2),Summary!$R$2,C1040))</f>
        <v>Jared</v>
      </c>
      <c r="D1041" t="str">
        <f>IF(C1041=Summary!$P$26,VLOOKUP(Summary!M1048,Summary!$Q$26:$R$27,2),IF('Run Data'!C1041=Summary!$P$28,VLOOKUP(Summary!M1048,Summary!$Q$28:$R$29,2),VLOOKUP(Summary!M1048,Summary!$Q$30:$R$32,2)))</f>
        <v>Sprig 3</v>
      </c>
      <c r="E1041" t="str">
        <f>VLOOKUP(Summary!M1051,Summary!$P$42:$Q$43,2)</f>
        <v>86</v>
      </c>
      <c r="F1041">
        <f>IF(LEFT(A1041,3)="B60",20,IF(LEFT(A1041,3)="B12",30,25))+B1041*0.5+INT(Summary!M1054*20)</f>
        <v>216</v>
      </c>
      <c r="G1041">
        <f>ROUND(IF(OR(ISERROR(FIND(Summary!$P$89,CONCATENATE(C1041,D1041,E1041))),ISERROR(FIND(Summary!$Q$89,A1041))),Summary!$R$45,IF(H1041&gt;Summary!$V$3,Summary!$R$46,Summary!$R$45))*(B1041+30),0)</f>
        <v>4</v>
      </c>
      <c r="H1041">
        <f>IF(H1040&gt;Summary!$V$4,0,H1040+F1040)</f>
        <v>4993</v>
      </c>
      <c r="I1041" s="26">
        <f>DATE(YEAR(Summary!$V$2),MONTH(Summary!$V$2),DAY(Summary!$V$2)+INT(H1041/480))</f>
        <v>43600</v>
      </c>
      <c r="J1041" s="27">
        <f t="shared" ref="J1041:J1104" si="17">TIME(INT(MOD(H1041,480)/60)+8,MOD(MOD(H1041,480),60),0)</f>
        <v>0.46736111111111112</v>
      </c>
    </row>
    <row r="1042" spans="1:10">
      <c r="A1042" t="str">
        <f>VLOOKUP(Summary!M1041,Summary!$P$13:$Q$24,2)</f>
        <v>B600-lime</v>
      </c>
      <c r="B1042">
        <f>ROUND(NORMINV(Summary!M1043,VLOOKUP(A1042,Summary!$Q$13:$S$24,3,FALSE),VLOOKUP(A1042,Summary!$Q$13:$S$24,3,FALSE)/6),-1)</f>
        <v>270</v>
      </c>
      <c r="C1042" t="str">
        <f>IF(AND(H1042=0,C1041=Summary!$P$2),Summary!$Q$2,IF(AND(H1042=0,C1041=Summary!$Q$2),Summary!$R$2,C1041))</f>
        <v>Jared</v>
      </c>
      <c r="D1042" t="str">
        <f>IF(C1042=Summary!$P$26,VLOOKUP(Summary!M1049,Summary!$Q$26:$R$27,2),IF('Run Data'!C1042=Summary!$P$28,VLOOKUP(Summary!M1049,Summary!$Q$28:$R$29,2),VLOOKUP(Summary!M1049,Summary!$Q$30:$R$32,2)))</f>
        <v>Sprig 2</v>
      </c>
      <c r="E1042" t="str">
        <f>VLOOKUP(Summary!M1052,Summary!$P$42:$Q$43,2)</f>
        <v>86</v>
      </c>
      <c r="F1042">
        <f>IF(LEFT(A1042,3)="B60",20,IF(LEFT(A1042,3)="B12",30,25))+B1042*0.5+INT(Summary!M1055*20)</f>
        <v>160</v>
      </c>
      <c r="G1042">
        <f>ROUND(IF(OR(ISERROR(FIND(Summary!$P$89,CONCATENATE(C1042,D1042,E1042))),ISERROR(FIND(Summary!$Q$89,A1042))),Summary!$R$45,IF(H1042&gt;Summary!$V$3,Summary!$R$46,Summary!$R$45))*(B1042+30),0)</f>
        <v>3</v>
      </c>
      <c r="H1042">
        <f>IF(H1041&gt;Summary!$V$4,0,H1041+F1041)</f>
        <v>5209</v>
      </c>
      <c r="I1042" s="26">
        <f>DATE(YEAR(Summary!$V$2),MONTH(Summary!$V$2),DAY(Summary!$V$2)+INT(H1042/480))</f>
        <v>43600</v>
      </c>
      <c r="J1042" s="27">
        <f t="shared" si="17"/>
        <v>0.61736111111111114</v>
      </c>
    </row>
    <row r="1043" spans="1:10">
      <c r="A1043" t="str">
        <f>VLOOKUP(Summary!M1042,Summary!$P$13:$Q$24,2)</f>
        <v>B1200-plum</v>
      </c>
      <c r="B1043">
        <f>ROUND(NORMINV(Summary!M1044,VLOOKUP(A1043,Summary!$Q$13:$S$24,3,FALSE),VLOOKUP(A1043,Summary!$Q$13:$S$24,3,FALSE)/6),-1)</f>
        <v>410</v>
      </c>
      <c r="C1043" t="str">
        <f>IF(AND(H1043=0,C1042=Summary!$P$2),Summary!$Q$2,IF(AND(H1043=0,C1042=Summary!$Q$2),Summary!$R$2,C1042))</f>
        <v>Jared</v>
      </c>
      <c r="D1043" t="str">
        <f>IF(C1043=Summary!$P$26,VLOOKUP(Summary!M1050,Summary!$Q$26:$R$27,2),IF('Run Data'!C1043=Summary!$P$28,VLOOKUP(Summary!M1050,Summary!$Q$28:$R$29,2),VLOOKUP(Summary!M1050,Summary!$Q$30:$R$32,2)))</f>
        <v>Sprig 3</v>
      </c>
      <c r="E1043" t="str">
        <f>VLOOKUP(Summary!M1053,Summary!$P$42:$Q$43,2)</f>
        <v>86</v>
      </c>
      <c r="F1043">
        <f>IF(LEFT(A1043,3)="B60",20,IF(LEFT(A1043,3)="B12",30,25))+B1043*0.5+INT(Summary!M1056*20)</f>
        <v>237</v>
      </c>
      <c r="G1043">
        <f>ROUND(IF(OR(ISERROR(FIND(Summary!$P$89,CONCATENATE(C1043,D1043,E1043))),ISERROR(FIND(Summary!$Q$89,A1043))),Summary!$R$45,IF(H1043&gt;Summary!$V$3,Summary!$R$46,Summary!$R$45))*(B1043+30),0)</f>
        <v>4</v>
      </c>
      <c r="H1043">
        <f>IF(H1042&gt;Summary!$V$4,0,H1042+F1042)</f>
        <v>5369</v>
      </c>
      <c r="I1043" s="26">
        <f>DATE(YEAR(Summary!$V$2),MONTH(Summary!$V$2),DAY(Summary!$V$2)+INT(H1043/480))</f>
        <v>43601</v>
      </c>
      <c r="J1043" s="27">
        <f t="shared" si="17"/>
        <v>0.39513888888888887</v>
      </c>
    </row>
    <row r="1044" spans="1:10">
      <c r="A1044" t="str">
        <f>VLOOKUP(Summary!M1043,Summary!$P$13:$Q$24,2)</f>
        <v>B1200-plum</v>
      </c>
      <c r="B1044">
        <f>ROUND(NORMINV(Summary!M1045,VLOOKUP(A1044,Summary!$Q$13:$S$24,3,FALSE),VLOOKUP(A1044,Summary!$Q$13:$S$24,3,FALSE)/6),-1)</f>
        <v>400</v>
      </c>
      <c r="C1044" t="str">
        <f>IF(AND(H1044=0,C1043=Summary!$P$2),Summary!$Q$2,IF(AND(H1044=0,C1043=Summary!$Q$2),Summary!$R$2,C1043))</f>
        <v>Jared</v>
      </c>
      <c r="D1044" t="str">
        <f>IF(C1044=Summary!$P$26,VLOOKUP(Summary!M1051,Summary!$Q$26:$R$27,2),IF('Run Data'!C1044=Summary!$P$28,VLOOKUP(Summary!M1051,Summary!$Q$28:$R$29,2),VLOOKUP(Summary!M1051,Summary!$Q$30:$R$32,2)))</f>
        <v>Sprig 3</v>
      </c>
      <c r="E1044" t="str">
        <f>VLOOKUP(Summary!M1054,Summary!$P$42:$Q$43,2)</f>
        <v>86</v>
      </c>
      <c r="F1044">
        <f>IF(LEFT(A1044,3)="B60",20,IF(LEFT(A1044,3)="B12",30,25))+B1044*0.5+INT(Summary!M1057*20)</f>
        <v>238</v>
      </c>
      <c r="G1044">
        <f>ROUND(IF(OR(ISERROR(FIND(Summary!$P$89,CONCATENATE(C1044,D1044,E1044))),ISERROR(FIND(Summary!$Q$89,A1044))),Summary!$R$45,IF(H1044&gt;Summary!$V$3,Summary!$R$46,Summary!$R$45))*(B1044+30),0)</f>
        <v>4</v>
      </c>
      <c r="H1044">
        <f>IF(H1043&gt;Summary!$V$4,0,H1043+F1043)</f>
        <v>5606</v>
      </c>
      <c r="I1044" s="26">
        <f>DATE(YEAR(Summary!$V$2),MONTH(Summary!$V$2),DAY(Summary!$V$2)+INT(H1044/480))</f>
        <v>43601</v>
      </c>
      <c r="J1044" s="27">
        <f t="shared" si="17"/>
        <v>0.55972222222222223</v>
      </c>
    </row>
    <row r="1045" spans="1:10">
      <c r="A1045" t="str">
        <f>VLOOKUP(Summary!M1044,Summary!$P$13:$Q$24,2)</f>
        <v>B1200-plum</v>
      </c>
      <c r="B1045">
        <f>ROUND(NORMINV(Summary!M1046,VLOOKUP(A1045,Summary!$Q$13:$S$24,3,FALSE),VLOOKUP(A1045,Summary!$Q$13:$S$24,3,FALSE)/6),-1)</f>
        <v>430</v>
      </c>
      <c r="C1045" t="str">
        <f>IF(AND(H1045=0,C1044=Summary!$P$2),Summary!$Q$2,IF(AND(H1045=0,C1044=Summary!$Q$2),Summary!$R$2,C1044))</f>
        <v>Jared</v>
      </c>
      <c r="D1045" t="str">
        <f>IF(C1045=Summary!$P$26,VLOOKUP(Summary!M1052,Summary!$Q$26:$R$27,2),IF('Run Data'!C1045=Summary!$P$28,VLOOKUP(Summary!M1052,Summary!$Q$28:$R$29,2),VLOOKUP(Summary!M1052,Summary!$Q$30:$R$32,2)))</f>
        <v>Sprig 1</v>
      </c>
      <c r="E1045" t="str">
        <f>VLOOKUP(Summary!M1055,Summary!$P$42:$Q$43,2)</f>
        <v>86</v>
      </c>
      <c r="F1045">
        <f>IF(LEFT(A1045,3)="B60",20,IF(LEFT(A1045,3)="B12",30,25))+B1045*0.5+INT(Summary!M1058*20)</f>
        <v>255</v>
      </c>
      <c r="G1045">
        <f>ROUND(IF(OR(ISERROR(FIND(Summary!$P$89,CONCATENATE(C1045,D1045,E1045))),ISERROR(FIND(Summary!$Q$89,A1045))),Summary!$R$45,IF(H1045&gt;Summary!$V$3,Summary!$R$46,Summary!$R$45))*(B1045+30),0)</f>
        <v>5</v>
      </c>
      <c r="H1045">
        <f>IF(H1044&gt;Summary!$V$4,0,H1044+F1044)</f>
        <v>5844</v>
      </c>
      <c r="I1045" s="26">
        <f>DATE(YEAR(Summary!$V$2),MONTH(Summary!$V$2),DAY(Summary!$V$2)+INT(H1045/480))</f>
        <v>43602</v>
      </c>
      <c r="J1045" s="27">
        <f t="shared" si="17"/>
        <v>0.39166666666666666</v>
      </c>
    </row>
    <row r="1046" spans="1:10">
      <c r="A1046" t="str">
        <f>VLOOKUP(Summary!M1045,Summary!$P$13:$Q$24,2)</f>
        <v>B1200-plum</v>
      </c>
      <c r="B1046">
        <f>ROUND(NORMINV(Summary!M1047,VLOOKUP(A1046,Summary!$Q$13:$S$24,3,FALSE),VLOOKUP(A1046,Summary!$Q$13:$S$24,3,FALSE)/6),-1)</f>
        <v>390</v>
      </c>
      <c r="C1046" t="str">
        <f>IF(AND(H1046=0,C1045=Summary!$P$2),Summary!$Q$2,IF(AND(H1046=0,C1045=Summary!$Q$2),Summary!$R$2,C1045))</f>
        <v>Jared</v>
      </c>
      <c r="D1046" t="str">
        <f>IF(C1046=Summary!$P$26,VLOOKUP(Summary!M1053,Summary!$Q$26:$R$27,2),IF('Run Data'!C1046=Summary!$P$28,VLOOKUP(Summary!M1053,Summary!$Q$28:$R$29,2),VLOOKUP(Summary!M1053,Summary!$Q$30:$R$32,2)))</f>
        <v>Sprig 2</v>
      </c>
      <c r="E1046" t="str">
        <f>VLOOKUP(Summary!M1056,Summary!$P$42:$Q$43,2)</f>
        <v>86</v>
      </c>
      <c r="F1046">
        <f>IF(LEFT(A1046,3)="B60",20,IF(LEFT(A1046,3)="B12",30,25))+B1046*0.5+INT(Summary!M1059*20)</f>
        <v>228</v>
      </c>
      <c r="G1046">
        <f>ROUND(IF(OR(ISERROR(FIND(Summary!$P$89,CONCATENATE(C1046,D1046,E1046))),ISERROR(FIND(Summary!$Q$89,A1046))),Summary!$R$45,IF(H1046&gt;Summary!$V$3,Summary!$R$46,Summary!$R$45))*(B1046+30),0)</f>
        <v>4</v>
      </c>
      <c r="H1046">
        <f>IF(H1045&gt;Summary!$V$4,0,H1045+F1045)</f>
        <v>6099</v>
      </c>
      <c r="I1046" s="26">
        <f>DATE(YEAR(Summary!$V$2),MONTH(Summary!$V$2),DAY(Summary!$V$2)+INT(H1046/480))</f>
        <v>43602</v>
      </c>
      <c r="J1046" s="27">
        <f t="shared" si="17"/>
        <v>0.56874999999999998</v>
      </c>
    </row>
    <row r="1047" spans="1:10">
      <c r="A1047" t="str">
        <f>VLOOKUP(Summary!M1046,Summary!$P$13:$Q$24,2)</f>
        <v>B1200-sky</v>
      </c>
      <c r="B1047">
        <f>ROUND(NORMINV(Summary!M1048,VLOOKUP(A1047,Summary!$Q$13:$S$24,3,FALSE),VLOOKUP(A1047,Summary!$Q$13:$S$24,3,FALSE)/6),-1)</f>
        <v>1400</v>
      </c>
      <c r="C1047" t="str">
        <f>IF(AND(H1047=0,C1046=Summary!$P$2),Summary!$Q$2,IF(AND(H1047=0,C1046=Summary!$Q$2),Summary!$R$2,C1046))</f>
        <v>Jared</v>
      </c>
      <c r="D1047" t="str">
        <f>IF(C1047=Summary!$P$26,VLOOKUP(Summary!M1054,Summary!$Q$26:$R$27,2),IF('Run Data'!C1047=Summary!$P$28,VLOOKUP(Summary!M1054,Summary!$Q$28:$R$29,2),VLOOKUP(Summary!M1054,Summary!$Q$30:$R$32,2)))</f>
        <v>Sprig 3</v>
      </c>
      <c r="E1047" t="str">
        <f>VLOOKUP(Summary!M1057,Summary!$P$42:$Q$43,2)</f>
        <v>86</v>
      </c>
      <c r="F1047">
        <f>IF(LEFT(A1047,3)="B60",20,IF(LEFT(A1047,3)="B12",30,25))+B1047*0.5+INT(Summary!M1060*20)</f>
        <v>737</v>
      </c>
      <c r="G1047">
        <f>ROUND(IF(OR(ISERROR(FIND(Summary!$P$89,CONCATENATE(C1047,D1047,E1047))),ISERROR(FIND(Summary!$Q$89,A1047))),Summary!$R$45,IF(H1047&gt;Summary!$V$3,Summary!$R$46,Summary!$R$45))*(B1047+30),0)</f>
        <v>14</v>
      </c>
      <c r="H1047">
        <f>IF(H1046&gt;Summary!$V$4,0,H1046+F1046)</f>
        <v>6327</v>
      </c>
      <c r="I1047" s="26">
        <f>DATE(YEAR(Summary!$V$2),MONTH(Summary!$V$2),DAY(Summary!$V$2)+INT(H1047/480))</f>
        <v>43603</v>
      </c>
      <c r="J1047" s="27">
        <f t="shared" si="17"/>
        <v>0.39374999999999999</v>
      </c>
    </row>
    <row r="1048" spans="1:10">
      <c r="A1048" t="str">
        <f>VLOOKUP(Summary!M1047,Summary!$P$13:$Q$24,2)</f>
        <v>B600-lime</v>
      </c>
      <c r="B1048">
        <f>ROUND(NORMINV(Summary!M1049,VLOOKUP(A1048,Summary!$Q$13:$S$24,3,FALSE),VLOOKUP(A1048,Summary!$Q$13:$S$24,3,FALSE)/6),-1)</f>
        <v>280</v>
      </c>
      <c r="C1048" t="str">
        <f>IF(AND(H1048=0,C1047=Summary!$P$2),Summary!$Q$2,IF(AND(H1048=0,C1047=Summary!$Q$2),Summary!$R$2,C1047))</f>
        <v>Jared</v>
      </c>
      <c r="D1048" t="str">
        <f>IF(C1048=Summary!$P$26,VLOOKUP(Summary!M1055,Summary!$Q$26:$R$27,2),IF('Run Data'!C1048=Summary!$P$28,VLOOKUP(Summary!M1055,Summary!$Q$28:$R$29,2),VLOOKUP(Summary!M1055,Summary!$Q$30:$R$32,2)))</f>
        <v>Sprig 2</v>
      </c>
      <c r="E1048" t="str">
        <f>VLOOKUP(Summary!M1058,Summary!$P$42:$Q$43,2)</f>
        <v>86</v>
      </c>
      <c r="F1048">
        <f>IF(LEFT(A1048,3)="B60",20,IF(LEFT(A1048,3)="B12",30,25))+B1048*0.5+INT(Summary!M1061*20)</f>
        <v>176</v>
      </c>
      <c r="G1048">
        <f>ROUND(IF(OR(ISERROR(FIND(Summary!$P$89,CONCATENATE(C1048,D1048,E1048))),ISERROR(FIND(Summary!$Q$89,A1048))),Summary!$R$45,IF(H1048&gt;Summary!$V$3,Summary!$R$46,Summary!$R$45))*(B1048+30),0)</f>
        <v>3</v>
      </c>
      <c r="H1048">
        <f>IF(H1047&gt;Summary!$V$4,0,H1047+F1047)</f>
        <v>7064</v>
      </c>
      <c r="I1048" s="26">
        <f>DATE(YEAR(Summary!$V$2),MONTH(Summary!$V$2),DAY(Summary!$V$2)+INT(H1048/480))</f>
        <v>43604</v>
      </c>
      <c r="J1048" s="27">
        <f t="shared" si="17"/>
        <v>0.57222222222222219</v>
      </c>
    </row>
    <row r="1049" spans="1:10">
      <c r="A1049" t="str">
        <f>VLOOKUP(Summary!M1048,Summary!$P$13:$Q$24,2)</f>
        <v>B1700-sky</v>
      </c>
      <c r="B1049">
        <f>ROUND(NORMINV(Summary!M1050,VLOOKUP(A1049,Summary!$Q$13:$S$24,3,FALSE),VLOOKUP(A1049,Summary!$Q$13:$S$24,3,FALSE)/6),-1)</f>
        <v>610</v>
      </c>
      <c r="C1049" t="str">
        <f>IF(AND(H1049=0,C1048=Summary!$P$2),Summary!$Q$2,IF(AND(H1049=0,C1048=Summary!$Q$2),Summary!$R$2,C1048))</f>
        <v>Jared</v>
      </c>
      <c r="D1049" t="str">
        <f>IF(C1049=Summary!$P$26,VLOOKUP(Summary!M1056,Summary!$Q$26:$R$27,2),IF('Run Data'!C1049=Summary!$P$28,VLOOKUP(Summary!M1056,Summary!$Q$28:$R$29,2),VLOOKUP(Summary!M1056,Summary!$Q$30:$R$32,2)))</f>
        <v>Sprig 1</v>
      </c>
      <c r="E1049" t="str">
        <f>VLOOKUP(Summary!M1059,Summary!$P$42:$Q$43,2)</f>
        <v>86</v>
      </c>
      <c r="F1049">
        <f>IF(LEFT(A1049,3)="B60",20,IF(LEFT(A1049,3)="B12",30,25))+B1049*0.5+INT(Summary!M1062*20)</f>
        <v>342</v>
      </c>
      <c r="G1049">
        <f>ROUND(IF(OR(ISERROR(FIND(Summary!$P$89,CONCATENATE(C1049,D1049,E1049))),ISERROR(FIND(Summary!$Q$89,A1049))),Summary!$R$45,IF(H1049&gt;Summary!$V$3,Summary!$R$46,Summary!$R$45))*(B1049+30),0)</f>
        <v>6</v>
      </c>
      <c r="H1049">
        <f>IF(H1048&gt;Summary!$V$4,0,H1048+F1048)</f>
        <v>7240</v>
      </c>
      <c r="I1049" s="26">
        <f>DATE(YEAR(Summary!$V$2),MONTH(Summary!$V$2),DAY(Summary!$V$2)+INT(H1049/480))</f>
        <v>43605</v>
      </c>
      <c r="J1049" s="27">
        <f t="shared" si="17"/>
        <v>0.3611111111111111</v>
      </c>
    </row>
    <row r="1050" spans="1:10">
      <c r="A1050" t="str">
        <f>VLOOKUP(Summary!M1049,Summary!$P$13:$Q$24,2)</f>
        <v>B1200-sky</v>
      </c>
      <c r="B1050">
        <f>ROUND(NORMINV(Summary!M1051,VLOOKUP(A1050,Summary!$Q$13:$S$24,3,FALSE),VLOOKUP(A1050,Summary!$Q$13:$S$24,3,FALSE)/6),-1)</f>
        <v>1280</v>
      </c>
      <c r="C1050" t="str">
        <f>IF(AND(H1050=0,C1049=Summary!$P$2),Summary!$Q$2,IF(AND(H1050=0,C1049=Summary!$Q$2),Summary!$R$2,C1049))</f>
        <v>Jared</v>
      </c>
      <c r="D1050" t="str">
        <f>IF(C1050=Summary!$P$26,VLOOKUP(Summary!M1057,Summary!$Q$26:$R$27,2),IF('Run Data'!C1050=Summary!$P$28,VLOOKUP(Summary!M1057,Summary!$Q$28:$R$29,2),VLOOKUP(Summary!M1057,Summary!$Q$30:$R$32,2)))</f>
        <v>Sprig 2</v>
      </c>
      <c r="E1050" t="str">
        <f>VLOOKUP(Summary!M1060,Summary!$P$42:$Q$43,2)</f>
        <v>86</v>
      </c>
      <c r="F1050">
        <f>IF(LEFT(A1050,3)="B60",20,IF(LEFT(A1050,3)="B12",30,25))+B1050*0.5+INT(Summary!M1063*20)</f>
        <v>673</v>
      </c>
      <c r="G1050">
        <f>ROUND(IF(OR(ISERROR(FIND(Summary!$P$89,CONCATENATE(C1050,D1050,E1050))),ISERROR(FIND(Summary!$Q$89,A1050))),Summary!$R$45,IF(H1050&gt;Summary!$V$3,Summary!$R$46,Summary!$R$45))*(B1050+30),0)</f>
        <v>13</v>
      </c>
      <c r="H1050">
        <f>IF(H1049&gt;Summary!$V$4,0,H1049+F1049)</f>
        <v>7582</v>
      </c>
      <c r="I1050" s="26">
        <f>DATE(YEAR(Summary!$V$2),MONTH(Summary!$V$2),DAY(Summary!$V$2)+INT(H1050/480))</f>
        <v>43605</v>
      </c>
      <c r="J1050" s="27">
        <f t="shared" si="17"/>
        <v>0.59861111111111109</v>
      </c>
    </row>
    <row r="1051" spans="1:10">
      <c r="A1051" t="str">
        <f>VLOOKUP(Summary!M1050,Summary!$P$13:$Q$24,2)</f>
        <v>B1700-plum</v>
      </c>
      <c r="B1051">
        <f>ROUND(NORMINV(Summary!M1052,VLOOKUP(A1051,Summary!$Q$13:$S$24,3,FALSE),VLOOKUP(A1051,Summary!$Q$13:$S$24,3,FALSE)/6),-1)</f>
        <v>250</v>
      </c>
      <c r="C1051" t="str">
        <f>IF(AND(H1051=0,C1050=Summary!$P$2),Summary!$Q$2,IF(AND(H1051=0,C1050=Summary!$Q$2),Summary!$R$2,C1050))</f>
        <v>Jared</v>
      </c>
      <c r="D1051" t="str">
        <f>IF(C1051=Summary!$P$26,VLOOKUP(Summary!M1058,Summary!$Q$26:$R$27,2),IF('Run Data'!C1051=Summary!$P$28,VLOOKUP(Summary!M1058,Summary!$Q$28:$R$29,2),VLOOKUP(Summary!M1058,Summary!$Q$30:$R$32,2)))</f>
        <v>Sprig 2</v>
      </c>
      <c r="E1051" t="str">
        <f>VLOOKUP(Summary!M1061,Summary!$P$42:$Q$43,2)</f>
        <v>86</v>
      </c>
      <c r="F1051">
        <f>IF(LEFT(A1051,3)="B60",20,IF(LEFT(A1051,3)="B12",30,25))+B1051*0.5+INT(Summary!M1064*20)</f>
        <v>164</v>
      </c>
      <c r="G1051">
        <f>ROUND(IF(OR(ISERROR(FIND(Summary!$P$89,CONCATENATE(C1051,D1051,E1051))),ISERROR(FIND(Summary!$Q$89,A1051))),Summary!$R$45,IF(H1051&gt;Summary!$V$3,Summary!$R$46,Summary!$R$45))*(B1051+30),0)</f>
        <v>3</v>
      </c>
      <c r="H1051">
        <f>IF(H1050&gt;Summary!$V$4,0,H1050+F1050)</f>
        <v>8255</v>
      </c>
      <c r="I1051" s="26">
        <f>DATE(YEAR(Summary!$V$2),MONTH(Summary!$V$2),DAY(Summary!$V$2)+INT(H1051/480))</f>
        <v>43607</v>
      </c>
      <c r="J1051" s="27">
        <f t="shared" si="17"/>
        <v>0.39930555555555558</v>
      </c>
    </row>
    <row r="1052" spans="1:10">
      <c r="A1052" t="str">
        <f>VLOOKUP(Summary!M1051,Summary!$P$13:$Q$24,2)</f>
        <v>B1200-lime</v>
      </c>
      <c r="B1052">
        <f>ROUND(NORMINV(Summary!M1053,VLOOKUP(A1052,Summary!$Q$13:$S$24,3,FALSE),VLOOKUP(A1052,Summary!$Q$13:$S$24,3,FALSE)/6),-1)</f>
        <v>830</v>
      </c>
      <c r="C1052" t="str">
        <f>IF(AND(H1052=0,C1051=Summary!$P$2),Summary!$Q$2,IF(AND(H1052=0,C1051=Summary!$Q$2),Summary!$R$2,C1051))</f>
        <v>Jared</v>
      </c>
      <c r="D1052" t="str">
        <f>IF(C1052=Summary!$P$26,VLOOKUP(Summary!M1059,Summary!$Q$26:$R$27,2),IF('Run Data'!C1052=Summary!$P$28,VLOOKUP(Summary!M1059,Summary!$Q$28:$R$29,2),VLOOKUP(Summary!M1059,Summary!$Q$30:$R$32,2)))</f>
        <v>Sprig 1</v>
      </c>
      <c r="E1052" t="str">
        <f>VLOOKUP(Summary!M1062,Summary!$P$42:$Q$43,2)</f>
        <v>86</v>
      </c>
      <c r="F1052">
        <f>IF(LEFT(A1052,3)="B60",20,IF(LEFT(A1052,3)="B12",30,25))+B1052*0.5+INT(Summary!M1065*20)</f>
        <v>460</v>
      </c>
      <c r="G1052">
        <f>ROUND(IF(OR(ISERROR(FIND(Summary!$P$89,CONCATENATE(C1052,D1052,E1052))),ISERROR(FIND(Summary!$Q$89,A1052))),Summary!$R$45,IF(H1052&gt;Summary!$V$3,Summary!$R$46,Summary!$R$45))*(B1052+30),0)</f>
        <v>9</v>
      </c>
      <c r="H1052">
        <f>IF(H1051&gt;Summary!$V$4,0,H1051+F1051)</f>
        <v>8419</v>
      </c>
      <c r="I1052" s="26">
        <f>DATE(YEAR(Summary!$V$2),MONTH(Summary!$V$2),DAY(Summary!$V$2)+INT(H1052/480))</f>
        <v>43607</v>
      </c>
      <c r="J1052" s="27">
        <f t="shared" si="17"/>
        <v>0.5131944444444444</v>
      </c>
    </row>
    <row r="1053" spans="1:10">
      <c r="A1053" t="str">
        <f>VLOOKUP(Summary!M1052,Summary!$P$13:$Q$24,2)</f>
        <v>B600-lime</v>
      </c>
      <c r="B1053">
        <f>ROUND(NORMINV(Summary!M1054,VLOOKUP(A1053,Summary!$Q$13:$S$24,3,FALSE),VLOOKUP(A1053,Summary!$Q$13:$S$24,3,FALSE)/6),-1)</f>
        <v>350</v>
      </c>
      <c r="C1053" t="str">
        <f>IF(AND(H1053=0,C1052=Summary!$P$2),Summary!$Q$2,IF(AND(H1053=0,C1052=Summary!$Q$2),Summary!$R$2,C1052))</f>
        <v>Jared</v>
      </c>
      <c r="D1053" t="str">
        <f>IF(C1053=Summary!$P$26,VLOOKUP(Summary!M1060,Summary!$Q$26:$R$27,2),IF('Run Data'!C1053=Summary!$P$28,VLOOKUP(Summary!M1060,Summary!$Q$28:$R$29,2),VLOOKUP(Summary!M1060,Summary!$Q$30:$R$32,2)))</f>
        <v>Sprig 2</v>
      </c>
      <c r="E1053" t="str">
        <f>VLOOKUP(Summary!M1063,Summary!$P$42:$Q$43,2)</f>
        <v>86</v>
      </c>
      <c r="F1053">
        <f>IF(LEFT(A1053,3)="B60",20,IF(LEFT(A1053,3)="B12",30,25))+B1053*0.5+INT(Summary!M1066*20)</f>
        <v>202</v>
      </c>
      <c r="G1053">
        <f>ROUND(IF(OR(ISERROR(FIND(Summary!$P$89,CONCATENATE(C1053,D1053,E1053))),ISERROR(FIND(Summary!$Q$89,A1053))),Summary!$R$45,IF(H1053&gt;Summary!$V$3,Summary!$R$46,Summary!$R$45))*(B1053+30),0)</f>
        <v>4</v>
      </c>
      <c r="H1053">
        <f>IF(H1052&gt;Summary!$V$4,0,H1052+F1052)</f>
        <v>8879</v>
      </c>
      <c r="I1053" s="26">
        <f>DATE(YEAR(Summary!$V$2),MONTH(Summary!$V$2),DAY(Summary!$V$2)+INT(H1053/480))</f>
        <v>43608</v>
      </c>
      <c r="J1053" s="27">
        <f t="shared" si="17"/>
        <v>0.4993055555555555</v>
      </c>
    </row>
    <row r="1054" spans="1:10">
      <c r="A1054" t="str">
        <f>VLOOKUP(Summary!M1053,Summary!$P$13:$Q$24,2)</f>
        <v>B1200-lime</v>
      </c>
      <c r="B1054">
        <f>ROUND(NORMINV(Summary!M1055,VLOOKUP(A1054,Summary!$Q$13:$S$24,3,FALSE),VLOOKUP(A1054,Summary!$Q$13:$S$24,3,FALSE)/6),-1)</f>
        <v>720</v>
      </c>
      <c r="C1054" t="str">
        <f>IF(AND(H1054=0,C1053=Summary!$P$2),Summary!$Q$2,IF(AND(H1054=0,C1053=Summary!$Q$2),Summary!$R$2,C1053))</f>
        <v>Jared</v>
      </c>
      <c r="D1054" t="str">
        <f>IF(C1054=Summary!$P$26,VLOOKUP(Summary!M1061,Summary!$Q$26:$R$27,2),IF('Run Data'!C1054=Summary!$P$28,VLOOKUP(Summary!M1061,Summary!$Q$28:$R$29,2),VLOOKUP(Summary!M1061,Summary!$Q$30:$R$32,2)))</f>
        <v>Sprig 3</v>
      </c>
      <c r="E1054" t="str">
        <f>VLOOKUP(Summary!M1064,Summary!$P$42:$Q$43,2)</f>
        <v>86</v>
      </c>
      <c r="F1054">
        <f>IF(LEFT(A1054,3)="B60",20,IF(LEFT(A1054,3)="B12",30,25))+B1054*0.5+INT(Summary!M1067*20)</f>
        <v>396</v>
      </c>
      <c r="G1054">
        <f>ROUND(IF(OR(ISERROR(FIND(Summary!$P$89,CONCATENATE(C1054,D1054,E1054))),ISERROR(FIND(Summary!$Q$89,A1054))),Summary!$R$45,IF(H1054&gt;Summary!$V$3,Summary!$R$46,Summary!$R$45))*(B1054+30),0)</f>
        <v>8</v>
      </c>
      <c r="H1054">
        <f>IF(H1053&gt;Summary!$V$4,0,H1053+F1053)</f>
        <v>9081</v>
      </c>
      <c r="I1054" s="26">
        <f>DATE(YEAR(Summary!$V$2),MONTH(Summary!$V$2),DAY(Summary!$V$2)+INT(H1054/480))</f>
        <v>43608</v>
      </c>
      <c r="J1054" s="27">
        <f t="shared" si="17"/>
        <v>0.63958333333333328</v>
      </c>
    </row>
    <row r="1055" spans="1:10">
      <c r="A1055" t="str">
        <f>VLOOKUP(Summary!M1054,Summary!$P$13:$Q$24,2)</f>
        <v>B1700-sky</v>
      </c>
      <c r="B1055">
        <f>ROUND(NORMINV(Summary!M1056,VLOOKUP(A1055,Summary!$Q$13:$S$24,3,FALSE),VLOOKUP(A1055,Summary!$Q$13:$S$24,3,FALSE)/6),-1)</f>
        <v>450</v>
      </c>
      <c r="C1055" t="str">
        <f>IF(AND(H1055=0,C1054=Summary!$P$2),Summary!$Q$2,IF(AND(H1055=0,C1054=Summary!$Q$2),Summary!$R$2,C1054))</f>
        <v>Jared</v>
      </c>
      <c r="D1055" t="str">
        <f>IF(C1055=Summary!$P$26,VLOOKUP(Summary!M1062,Summary!$Q$26:$R$27,2),IF('Run Data'!C1055=Summary!$P$28,VLOOKUP(Summary!M1062,Summary!$Q$28:$R$29,2),VLOOKUP(Summary!M1062,Summary!$Q$30:$R$32,2)))</f>
        <v>Sprig 3</v>
      </c>
      <c r="E1055" t="str">
        <f>VLOOKUP(Summary!M1065,Summary!$P$42:$Q$43,2)</f>
        <v>86</v>
      </c>
      <c r="F1055">
        <f>IF(LEFT(A1055,3)="B60",20,IF(LEFT(A1055,3)="B12",30,25))+B1055*0.5+INT(Summary!M1068*20)</f>
        <v>268</v>
      </c>
      <c r="G1055">
        <f>ROUND(IF(OR(ISERROR(FIND(Summary!$P$89,CONCATENATE(C1055,D1055,E1055))),ISERROR(FIND(Summary!$Q$89,A1055))),Summary!$R$45,IF(H1055&gt;Summary!$V$3,Summary!$R$46,Summary!$R$45))*(B1055+30),0)</f>
        <v>5</v>
      </c>
      <c r="H1055">
        <f>IF(H1054&gt;Summary!$V$4,0,H1054+F1054)</f>
        <v>9477</v>
      </c>
      <c r="I1055" s="26">
        <f>DATE(YEAR(Summary!$V$2),MONTH(Summary!$V$2),DAY(Summary!$V$2)+INT(H1055/480))</f>
        <v>43609</v>
      </c>
      <c r="J1055" s="27">
        <f t="shared" si="17"/>
        <v>0.58124999999999993</v>
      </c>
    </row>
    <row r="1056" spans="1:10">
      <c r="A1056" t="str">
        <f>VLOOKUP(Summary!M1055,Summary!$P$13:$Q$24,2)</f>
        <v>B1200-plum</v>
      </c>
      <c r="B1056">
        <f>ROUND(NORMINV(Summary!M1057,VLOOKUP(A1056,Summary!$Q$13:$S$24,3,FALSE),VLOOKUP(A1056,Summary!$Q$13:$S$24,3,FALSE)/6),-1)</f>
        <v>440</v>
      </c>
      <c r="C1056" t="str">
        <f>IF(AND(H1056=0,C1055=Summary!$P$2),Summary!$Q$2,IF(AND(H1056=0,C1055=Summary!$Q$2),Summary!$R$2,C1055))</f>
        <v>Jared</v>
      </c>
      <c r="D1056" t="str">
        <f>IF(C1056=Summary!$P$26,VLOOKUP(Summary!M1063,Summary!$Q$26:$R$27,2),IF('Run Data'!C1056=Summary!$P$28,VLOOKUP(Summary!M1063,Summary!$Q$28:$R$29,2),VLOOKUP(Summary!M1063,Summary!$Q$30:$R$32,2)))</f>
        <v>Sprig 1</v>
      </c>
      <c r="E1056" t="str">
        <f>VLOOKUP(Summary!M1066,Summary!$P$42:$Q$43,2)</f>
        <v>86</v>
      </c>
      <c r="F1056">
        <f>IF(LEFT(A1056,3)="B60",20,IF(LEFT(A1056,3)="B12",30,25))+B1056*0.5+INT(Summary!M1069*20)</f>
        <v>255</v>
      </c>
      <c r="G1056">
        <f>ROUND(IF(OR(ISERROR(FIND(Summary!$P$89,CONCATENATE(C1056,D1056,E1056))),ISERROR(FIND(Summary!$Q$89,A1056))),Summary!$R$45,IF(H1056&gt;Summary!$V$3,Summary!$R$46,Summary!$R$45))*(B1056+30),0)</f>
        <v>5</v>
      </c>
      <c r="H1056">
        <f>IF(H1055&gt;Summary!$V$4,0,H1055+F1055)</f>
        <v>9745</v>
      </c>
      <c r="I1056" s="26">
        <f>DATE(YEAR(Summary!$V$2),MONTH(Summary!$V$2),DAY(Summary!$V$2)+INT(H1056/480))</f>
        <v>43610</v>
      </c>
      <c r="J1056" s="27">
        <f t="shared" si="17"/>
        <v>0.43402777777777773</v>
      </c>
    </row>
    <row r="1057" spans="1:10">
      <c r="A1057" t="str">
        <f>VLOOKUP(Summary!M1056,Summary!$P$13:$Q$24,2)</f>
        <v>B600-fire</v>
      </c>
      <c r="B1057">
        <f>ROUND(NORMINV(Summary!M1058,VLOOKUP(A1057,Summary!$Q$13:$S$24,3,FALSE),VLOOKUP(A1057,Summary!$Q$13:$S$24,3,FALSE)/6),-1)</f>
        <v>410</v>
      </c>
      <c r="C1057" t="str">
        <f>IF(AND(H1057=0,C1056=Summary!$P$2),Summary!$Q$2,IF(AND(H1057=0,C1056=Summary!$Q$2),Summary!$R$2,C1056))</f>
        <v>Jared</v>
      </c>
      <c r="D1057" t="str">
        <f>IF(C1057=Summary!$P$26,VLOOKUP(Summary!M1064,Summary!$Q$26:$R$27,2),IF('Run Data'!C1057=Summary!$P$28,VLOOKUP(Summary!M1064,Summary!$Q$28:$R$29,2),VLOOKUP(Summary!M1064,Summary!$Q$30:$R$32,2)))</f>
        <v>Sprig 3</v>
      </c>
      <c r="E1057" t="str">
        <f>VLOOKUP(Summary!M1067,Summary!$P$42:$Q$43,2)</f>
        <v>86</v>
      </c>
      <c r="F1057">
        <f>IF(LEFT(A1057,3)="B60",20,IF(LEFT(A1057,3)="B12",30,25))+B1057*0.5+INT(Summary!M1070*20)</f>
        <v>243</v>
      </c>
      <c r="G1057">
        <f>ROUND(IF(OR(ISERROR(FIND(Summary!$P$89,CONCATENATE(C1057,D1057,E1057))),ISERROR(FIND(Summary!$Q$89,A1057))),Summary!$R$45,IF(H1057&gt;Summary!$V$3,Summary!$R$46,Summary!$R$45))*(B1057+30),0)</f>
        <v>4</v>
      </c>
      <c r="H1057">
        <f>IF(H1056&gt;Summary!$V$4,0,H1056+F1056)</f>
        <v>10000</v>
      </c>
      <c r="I1057" s="26">
        <f>DATE(YEAR(Summary!$V$2),MONTH(Summary!$V$2),DAY(Summary!$V$2)+INT(H1057/480))</f>
        <v>43610</v>
      </c>
      <c r="J1057" s="27">
        <f t="shared" si="17"/>
        <v>0.61111111111111105</v>
      </c>
    </row>
    <row r="1058" spans="1:10">
      <c r="A1058" t="str">
        <f>VLOOKUP(Summary!M1057,Summary!$P$13:$Q$24,2)</f>
        <v>B1200-sky</v>
      </c>
      <c r="B1058">
        <f>ROUND(NORMINV(Summary!M1059,VLOOKUP(A1058,Summary!$Q$13:$S$24,3,FALSE),VLOOKUP(A1058,Summary!$Q$13:$S$24,3,FALSE)/6),-1)</f>
        <v>1010</v>
      </c>
      <c r="C1058" t="str">
        <f>IF(AND(H1058=0,C1057=Summary!$P$2),Summary!$Q$2,IF(AND(H1058=0,C1057=Summary!$Q$2),Summary!$R$2,C1057))</f>
        <v>Jared</v>
      </c>
      <c r="D1058" t="str">
        <f>IF(C1058=Summary!$P$26,VLOOKUP(Summary!M1065,Summary!$Q$26:$R$27,2),IF('Run Data'!C1058=Summary!$P$28,VLOOKUP(Summary!M1065,Summary!$Q$28:$R$29,2),VLOOKUP(Summary!M1065,Summary!$Q$30:$R$32,2)))</f>
        <v>Sprig 3</v>
      </c>
      <c r="E1058" t="str">
        <f>VLOOKUP(Summary!M1068,Summary!$P$42:$Q$43,2)</f>
        <v>87b</v>
      </c>
      <c r="F1058">
        <f>IF(LEFT(A1058,3)="B60",20,IF(LEFT(A1058,3)="B12",30,25))+B1058*0.5+INT(Summary!M1071*20)</f>
        <v>553</v>
      </c>
      <c r="G1058">
        <f>ROUND(IF(OR(ISERROR(FIND(Summary!$P$89,CONCATENATE(C1058,D1058,E1058))),ISERROR(FIND(Summary!$Q$89,A1058))),Summary!$R$45,IF(H1058&gt;Summary!$V$3,Summary!$R$46,Summary!$R$45))*(B1058+30),0)</f>
        <v>10</v>
      </c>
      <c r="H1058">
        <f>IF(H1057&gt;Summary!$V$4,0,H1057+F1057)</f>
        <v>10243</v>
      </c>
      <c r="I1058" s="26">
        <f>DATE(YEAR(Summary!$V$2),MONTH(Summary!$V$2),DAY(Summary!$V$2)+INT(H1058/480))</f>
        <v>43611</v>
      </c>
      <c r="J1058" s="27">
        <f t="shared" si="17"/>
        <v>0.4465277777777778</v>
      </c>
    </row>
    <row r="1059" spans="1:10">
      <c r="A1059" t="str">
        <f>VLOOKUP(Summary!M1058,Summary!$P$13:$Q$24,2)</f>
        <v>B1200-fire</v>
      </c>
      <c r="B1059">
        <f>ROUND(NORMINV(Summary!M1060,VLOOKUP(A1059,Summary!$Q$13:$S$24,3,FALSE),VLOOKUP(A1059,Summary!$Q$13:$S$24,3,FALSE)/6),-1)</f>
        <v>1130</v>
      </c>
      <c r="C1059" t="str">
        <f>IF(AND(H1059=0,C1058=Summary!$P$2),Summary!$Q$2,IF(AND(H1059=0,C1058=Summary!$Q$2),Summary!$R$2,C1058))</f>
        <v>Jared</v>
      </c>
      <c r="D1059" t="str">
        <f>IF(C1059=Summary!$P$26,VLOOKUP(Summary!M1066,Summary!$Q$26:$R$27,2),IF('Run Data'!C1059=Summary!$P$28,VLOOKUP(Summary!M1066,Summary!$Q$28:$R$29,2),VLOOKUP(Summary!M1066,Summary!$Q$30:$R$32,2)))</f>
        <v>Sprig 2</v>
      </c>
      <c r="E1059" t="str">
        <f>VLOOKUP(Summary!M1069,Summary!$P$42:$Q$43,2)</f>
        <v>86</v>
      </c>
      <c r="F1059">
        <f>IF(LEFT(A1059,3)="B60",20,IF(LEFT(A1059,3)="B12",30,25))+B1059*0.5+INT(Summary!M1072*20)</f>
        <v>595</v>
      </c>
      <c r="G1059">
        <f>ROUND(IF(OR(ISERROR(FIND(Summary!$P$89,CONCATENATE(C1059,D1059,E1059))),ISERROR(FIND(Summary!$Q$89,A1059))),Summary!$R$45,IF(H1059&gt;Summary!$V$3,Summary!$R$46,Summary!$R$45))*(B1059+30),0)</f>
        <v>12</v>
      </c>
      <c r="H1059">
        <f>IF(H1058&gt;Summary!$V$4,0,H1058+F1058)</f>
        <v>10796</v>
      </c>
      <c r="I1059" s="26">
        <f>DATE(YEAR(Summary!$V$2),MONTH(Summary!$V$2),DAY(Summary!$V$2)+INT(H1059/480))</f>
        <v>43612</v>
      </c>
      <c r="J1059" s="27">
        <f t="shared" si="17"/>
        <v>0.49722222222222223</v>
      </c>
    </row>
    <row r="1060" spans="1:10">
      <c r="A1060" t="str">
        <f>VLOOKUP(Summary!M1059,Summary!$P$13:$Q$24,2)</f>
        <v>B600-lime</v>
      </c>
      <c r="B1060">
        <f>ROUND(NORMINV(Summary!M1061,VLOOKUP(A1060,Summary!$Q$13:$S$24,3,FALSE),VLOOKUP(A1060,Summary!$Q$13:$S$24,3,FALSE)/6),-1)</f>
        <v>350</v>
      </c>
      <c r="C1060" t="str">
        <f>IF(AND(H1060=0,C1059=Summary!$P$2),Summary!$Q$2,IF(AND(H1060=0,C1059=Summary!$Q$2),Summary!$R$2,C1059))</f>
        <v>Jared</v>
      </c>
      <c r="D1060" t="str">
        <f>IF(C1060=Summary!$P$26,VLOOKUP(Summary!M1067,Summary!$Q$26:$R$27,2),IF('Run Data'!C1060=Summary!$P$28,VLOOKUP(Summary!M1067,Summary!$Q$28:$R$29,2),VLOOKUP(Summary!M1067,Summary!$Q$30:$R$32,2)))</f>
        <v>Sprig 2</v>
      </c>
      <c r="E1060" t="str">
        <f>VLOOKUP(Summary!M1070,Summary!$P$42:$Q$43,2)</f>
        <v>87b</v>
      </c>
      <c r="F1060">
        <f>IF(LEFT(A1060,3)="B60",20,IF(LEFT(A1060,3)="B12",30,25))+B1060*0.5+INT(Summary!M1073*20)</f>
        <v>203</v>
      </c>
      <c r="G1060">
        <f>ROUND(IF(OR(ISERROR(FIND(Summary!$P$89,CONCATENATE(C1060,D1060,E1060))),ISERROR(FIND(Summary!$Q$89,A1060))),Summary!$R$45,IF(H1060&gt;Summary!$V$3,Summary!$R$46,Summary!$R$45))*(B1060+30),0)</f>
        <v>4</v>
      </c>
      <c r="H1060">
        <f>IF(H1059&gt;Summary!$V$4,0,H1059+F1059)</f>
        <v>11391</v>
      </c>
      <c r="I1060" s="26">
        <f>DATE(YEAR(Summary!$V$2),MONTH(Summary!$V$2),DAY(Summary!$V$2)+INT(H1060/480))</f>
        <v>43613</v>
      </c>
      <c r="J1060" s="27">
        <f t="shared" si="17"/>
        <v>0.57708333333333328</v>
      </c>
    </row>
    <row r="1061" spans="1:10">
      <c r="A1061" t="str">
        <f>VLOOKUP(Summary!M1060,Summary!$P$13:$Q$24,2)</f>
        <v>B1200-sky</v>
      </c>
      <c r="B1061">
        <f>ROUND(NORMINV(Summary!M1062,VLOOKUP(A1061,Summary!$Q$13:$S$24,3,FALSE),VLOOKUP(A1061,Summary!$Q$13:$S$24,3,FALSE)/6),-1)</f>
        <v>1270</v>
      </c>
      <c r="C1061" t="str">
        <f>IF(AND(H1061=0,C1060=Summary!$P$2),Summary!$Q$2,IF(AND(H1061=0,C1060=Summary!$Q$2),Summary!$R$2,C1060))</f>
        <v>Jared</v>
      </c>
      <c r="D1061" t="str">
        <f>IF(C1061=Summary!$P$26,VLOOKUP(Summary!M1068,Summary!$Q$26:$R$27,2),IF('Run Data'!C1061=Summary!$P$28,VLOOKUP(Summary!M1068,Summary!$Q$28:$R$29,2),VLOOKUP(Summary!M1068,Summary!$Q$30:$R$32,2)))</f>
        <v>Sprig 3</v>
      </c>
      <c r="E1061" t="str">
        <f>VLOOKUP(Summary!M1071,Summary!$P$42:$Q$43,2)</f>
        <v>87b</v>
      </c>
      <c r="F1061">
        <f>IF(LEFT(A1061,3)="B60",20,IF(LEFT(A1061,3)="B12",30,25))+B1061*0.5+INT(Summary!M1074*20)</f>
        <v>668</v>
      </c>
      <c r="G1061">
        <f>ROUND(IF(OR(ISERROR(FIND(Summary!$P$89,CONCATENATE(C1061,D1061,E1061))),ISERROR(FIND(Summary!$Q$89,A1061))),Summary!$R$45,IF(H1061&gt;Summary!$V$3,Summary!$R$46,Summary!$R$45))*(B1061+30),0)</f>
        <v>13</v>
      </c>
      <c r="H1061">
        <f>IF(H1060&gt;Summary!$V$4,0,H1060+F1060)</f>
        <v>11594</v>
      </c>
      <c r="I1061" s="26">
        <f>DATE(YEAR(Summary!$V$2),MONTH(Summary!$V$2),DAY(Summary!$V$2)+INT(H1061/480))</f>
        <v>43614</v>
      </c>
      <c r="J1061" s="27">
        <f t="shared" si="17"/>
        <v>0.38472222222222219</v>
      </c>
    </row>
    <row r="1062" spans="1:10">
      <c r="A1062" t="str">
        <f>VLOOKUP(Summary!M1061,Summary!$P$13:$Q$24,2)</f>
        <v>B1700-sky</v>
      </c>
      <c r="B1062">
        <f>ROUND(NORMINV(Summary!M1063,VLOOKUP(A1062,Summary!$Q$13:$S$24,3,FALSE),VLOOKUP(A1062,Summary!$Q$13:$S$24,3,FALSE)/6),-1)</f>
        <v>470</v>
      </c>
      <c r="C1062" t="str">
        <f>IF(AND(H1062=0,C1061=Summary!$P$2),Summary!$Q$2,IF(AND(H1062=0,C1061=Summary!$Q$2),Summary!$R$2,C1061))</f>
        <v>Jared</v>
      </c>
      <c r="D1062" t="str">
        <f>IF(C1062=Summary!$P$26,VLOOKUP(Summary!M1069,Summary!$Q$26:$R$27,2),IF('Run Data'!C1062=Summary!$P$28,VLOOKUP(Summary!M1069,Summary!$Q$28:$R$29,2),VLOOKUP(Summary!M1069,Summary!$Q$30:$R$32,2)))</f>
        <v>Sprig 2</v>
      </c>
      <c r="E1062" t="str">
        <f>VLOOKUP(Summary!M1072,Summary!$P$42:$Q$43,2)</f>
        <v>86</v>
      </c>
      <c r="F1062">
        <f>IF(LEFT(A1062,3)="B60",20,IF(LEFT(A1062,3)="B12",30,25))+B1062*0.5+INT(Summary!M1075*20)</f>
        <v>265</v>
      </c>
      <c r="G1062">
        <f>ROUND(IF(OR(ISERROR(FIND(Summary!$P$89,CONCATENATE(C1062,D1062,E1062))),ISERROR(FIND(Summary!$Q$89,A1062))),Summary!$R$45,IF(H1062&gt;Summary!$V$3,Summary!$R$46,Summary!$R$45))*(B1062+30),0)</f>
        <v>5</v>
      </c>
      <c r="H1062">
        <f>IF(H1061&gt;Summary!$V$4,0,H1061+F1061)</f>
        <v>12262</v>
      </c>
      <c r="I1062" s="26">
        <f>DATE(YEAR(Summary!$V$2),MONTH(Summary!$V$2),DAY(Summary!$V$2)+INT(H1062/480))</f>
        <v>43615</v>
      </c>
      <c r="J1062" s="27">
        <f t="shared" si="17"/>
        <v>0.51527777777777783</v>
      </c>
    </row>
    <row r="1063" spans="1:10">
      <c r="A1063" t="str">
        <f>VLOOKUP(Summary!M1062,Summary!$P$13:$Q$24,2)</f>
        <v>B1200-lime</v>
      </c>
      <c r="B1063">
        <f>ROUND(NORMINV(Summary!M1064,VLOOKUP(A1063,Summary!$Q$13:$S$24,3,FALSE),VLOOKUP(A1063,Summary!$Q$13:$S$24,3,FALSE)/6),-1)</f>
        <v>880</v>
      </c>
      <c r="C1063" t="str">
        <f>IF(AND(H1063=0,C1062=Summary!$P$2),Summary!$Q$2,IF(AND(H1063=0,C1062=Summary!$Q$2),Summary!$R$2,C1062))</f>
        <v>Jared</v>
      </c>
      <c r="D1063" t="str">
        <f>IF(C1063=Summary!$P$26,VLOOKUP(Summary!M1070,Summary!$Q$26:$R$27,2),IF('Run Data'!C1063=Summary!$P$28,VLOOKUP(Summary!M1070,Summary!$Q$28:$R$29,2),VLOOKUP(Summary!M1070,Summary!$Q$30:$R$32,2)))</f>
        <v>Sprig 3</v>
      </c>
      <c r="E1063" t="str">
        <f>VLOOKUP(Summary!M1073,Summary!$P$42:$Q$43,2)</f>
        <v>86</v>
      </c>
      <c r="F1063">
        <f>IF(LEFT(A1063,3)="B60",20,IF(LEFT(A1063,3)="B12",30,25))+B1063*0.5+INT(Summary!M1076*20)</f>
        <v>482</v>
      </c>
      <c r="G1063">
        <f>ROUND(IF(OR(ISERROR(FIND(Summary!$P$89,CONCATENATE(C1063,D1063,E1063))),ISERROR(FIND(Summary!$Q$89,A1063))),Summary!$R$45,IF(H1063&gt;Summary!$V$3,Summary!$R$46,Summary!$R$45))*(B1063+30),0)</f>
        <v>9</v>
      </c>
      <c r="H1063">
        <f>IF(H1062&gt;Summary!$V$4,0,H1062+F1062)</f>
        <v>12527</v>
      </c>
      <c r="I1063" s="26">
        <f>DATE(YEAR(Summary!$V$2),MONTH(Summary!$V$2),DAY(Summary!$V$2)+INT(H1063/480))</f>
        <v>43616</v>
      </c>
      <c r="J1063" s="27">
        <f t="shared" si="17"/>
        <v>0.3659722222222222</v>
      </c>
    </row>
    <row r="1064" spans="1:10">
      <c r="A1064" t="str">
        <f>VLOOKUP(Summary!M1063,Summary!$P$13:$Q$24,2)</f>
        <v>B600-lime</v>
      </c>
      <c r="B1064">
        <f>ROUND(NORMINV(Summary!M1065,VLOOKUP(A1064,Summary!$Q$13:$S$24,3,FALSE),VLOOKUP(A1064,Summary!$Q$13:$S$24,3,FALSE)/6),-1)</f>
        <v>340</v>
      </c>
      <c r="C1064" t="str">
        <f>IF(AND(H1064=0,C1063=Summary!$P$2),Summary!$Q$2,IF(AND(H1064=0,C1063=Summary!$Q$2),Summary!$R$2,C1063))</f>
        <v>Jared</v>
      </c>
      <c r="D1064" t="str">
        <f>IF(C1064=Summary!$P$26,VLOOKUP(Summary!M1071,Summary!$Q$26:$R$27,2),IF('Run Data'!C1064=Summary!$P$28,VLOOKUP(Summary!M1071,Summary!$Q$28:$R$29,2),VLOOKUP(Summary!M1071,Summary!$Q$30:$R$32,2)))</f>
        <v>Sprig 3</v>
      </c>
      <c r="E1064" t="str">
        <f>VLOOKUP(Summary!M1074,Summary!$P$42:$Q$43,2)</f>
        <v>86</v>
      </c>
      <c r="F1064">
        <f>IF(LEFT(A1064,3)="B60",20,IF(LEFT(A1064,3)="B12",30,25))+B1064*0.5+INT(Summary!M1077*20)</f>
        <v>194</v>
      </c>
      <c r="G1064">
        <f>ROUND(IF(OR(ISERROR(FIND(Summary!$P$89,CONCATENATE(C1064,D1064,E1064))),ISERROR(FIND(Summary!$Q$89,A1064))),Summary!$R$45,IF(H1064&gt;Summary!$V$3,Summary!$R$46,Summary!$R$45))*(B1064+30),0)</f>
        <v>4</v>
      </c>
      <c r="H1064">
        <f>IF(H1063&gt;Summary!$V$4,0,H1063+F1063)</f>
        <v>13009</v>
      </c>
      <c r="I1064" s="26">
        <f>DATE(YEAR(Summary!$V$2),MONTH(Summary!$V$2),DAY(Summary!$V$2)+INT(H1064/480))</f>
        <v>43617</v>
      </c>
      <c r="J1064" s="27">
        <f t="shared" si="17"/>
        <v>0.36736111111111108</v>
      </c>
    </row>
    <row r="1065" spans="1:10">
      <c r="A1065" t="str">
        <f>VLOOKUP(Summary!M1064,Summary!$P$13:$Q$24,2)</f>
        <v>B1700-plum</v>
      </c>
      <c r="B1065">
        <f>ROUND(NORMINV(Summary!M1066,VLOOKUP(A1065,Summary!$Q$13:$S$24,3,FALSE),VLOOKUP(A1065,Summary!$Q$13:$S$24,3,FALSE)/6),-1)</f>
        <v>280</v>
      </c>
      <c r="C1065" t="str">
        <f>IF(AND(H1065=0,C1064=Summary!$P$2),Summary!$Q$2,IF(AND(H1065=0,C1064=Summary!$Q$2),Summary!$R$2,C1064))</f>
        <v>Jared</v>
      </c>
      <c r="D1065" t="str">
        <f>IF(C1065=Summary!$P$26,VLOOKUP(Summary!M1072,Summary!$Q$26:$R$27,2),IF('Run Data'!C1065=Summary!$P$28,VLOOKUP(Summary!M1072,Summary!$Q$28:$R$29,2),VLOOKUP(Summary!M1072,Summary!$Q$30:$R$32,2)))</f>
        <v>Sprig 1</v>
      </c>
      <c r="E1065" t="str">
        <f>VLOOKUP(Summary!M1075,Summary!$P$42:$Q$43,2)</f>
        <v>86</v>
      </c>
      <c r="F1065">
        <f>IF(LEFT(A1065,3)="B60",20,IF(LEFT(A1065,3)="B12",30,25))+B1065*0.5+INT(Summary!M1078*20)</f>
        <v>168</v>
      </c>
      <c r="G1065">
        <f>ROUND(IF(OR(ISERROR(FIND(Summary!$P$89,CONCATENATE(C1065,D1065,E1065))),ISERROR(FIND(Summary!$Q$89,A1065))),Summary!$R$45,IF(H1065&gt;Summary!$V$3,Summary!$R$46,Summary!$R$45))*(B1065+30),0)</f>
        <v>3</v>
      </c>
      <c r="H1065">
        <f>IF(H1064&gt;Summary!$V$4,0,H1064+F1064)</f>
        <v>13203</v>
      </c>
      <c r="I1065" s="26">
        <f>DATE(YEAR(Summary!$V$2),MONTH(Summary!$V$2),DAY(Summary!$V$2)+INT(H1065/480))</f>
        <v>43617</v>
      </c>
      <c r="J1065" s="27">
        <f t="shared" si="17"/>
        <v>0.50208333333333333</v>
      </c>
    </row>
    <row r="1066" spans="1:10">
      <c r="A1066" t="str">
        <f>VLOOKUP(Summary!M1065,Summary!$P$13:$Q$24,2)</f>
        <v>B1700-sky</v>
      </c>
      <c r="B1066">
        <f>ROUND(NORMINV(Summary!M1067,VLOOKUP(A1066,Summary!$Q$13:$S$24,3,FALSE),VLOOKUP(A1066,Summary!$Q$13:$S$24,3,FALSE)/6),-1)</f>
        <v>500</v>
      </c>
      <c r="C1066" t="str">
        <f>IF(AND(H1066=0,C1065=Summary!$P$2),Summary!$Q$2,IF(AND(H1066=0,C1065=Summary!$Q$2),Summary!$R$2,C1065))</f>
        <v>Jared</v>
      </c>
      <c r="D1066" t="str">
        <f>IF(C1066=Summary!$P$26,VLOOKUP(Summary!M1073,Summary!$Q$26:$R$27,2),IF('Run Data'!C1066=Summary!$P$28,VLOOKUP(Summary!M1073,Summary!$Q$28:$R$29,2),VLOOKUP(Summary!M1073,Summary!$Q$30:$R$32,2)))</f>
        <v>Sprig 2</v>
      </c>
      <c r="E1066" t="str">
        <f>VLOOKUP(Summary!M1076,Summary!$P$42:$Q$43,2)</f>
        <v>86</v>
      </c>
      <c r="F1066">
        <f>IF(LEFT(A1066,3)="B60",20,IF(LEFT(A1066,3)="B12",30,25))+B1066*0.5+INT(Summary!M1079*20)</f>
        <v>292</v>
      </c>
      <c r="G1066">
        <f>ROUND(IF(OR(ISERROR(FIND(Summary!$P$89,CONCATENATE(C1066,D1066,E1066))),ISERROR(FIND(Summary!$Q$89,A1066))),Summary!$R$45,IF(H1066&gt;Summary!$V$3,Summary!$R$46,Summary!$R$45))*(B1066+30),0)</f>
        <v>5</v>
      </c>
      <c r="H1066">
        <f>IF(H1065&gt;Summary!$V$4,0,H1065+F1065)</f>
        <v>13371</v>
      </c>
      <c r="I1066" s="26">
        <f>DATE(YEAR(Summary!$V$2),MONTH(Summary!$V$2),DAY(Summary!$V$2)+INT(H1066/480))</f>
        <v>43617</v>
      </c>
      <c r="J1066" s="27">
        <f t="shared" si="17"/>
        <v>0.61875000000000002</v>
      </c>
    </row>
    <row r="1067" spans="1:10">
      <c r="A1067" t="str">
        <f>VLOOKUP(Summary!M1066,Summary!$P$13:$Q$24,2)</f>
        <v>B1200-sky</v>
      </c>
      <c r="B1067">
        <f>ROUND(NORMINV(Summary!M1068,VLOOKUP(A1067,Summary!$Q$13:$S$24,3,FALSE),VLOOKUP(A1067,Summary!$Q$13:$S$24,3,FALSE)/6),-1)</f>
        <v>1470</v>
      </c>
      <c r="C1067" t="str">
        <f>IF(AND(H1067=0,C1066=Summary!$P$2),Summary!$Q$2,IF(AND(H1067=0,C1066=Summary!$Q$2),Summary!$R$2,C1066))</f>
        <v>Jared</v>
      </c>
      <c r="D1067" t="str">
        <f>IF(C1067=Summary!$P$26,VLOOKUP(Summary!M1074,Summary!$Q$26:$R$27,2),IF('Run Data'!C1067=Summary!$P$28,VLOOKUP(Summary!M1074,Summary!$Q$28:$R$29,2),VLOOKUP(Summary!M1074,Summary!$Q$30:$R$32,2)))</f>
        <v>Sprig 1</v>
      </c>
      <c r="E1067" t="str">
        <f>VLOOKUP(Summary!M1077,Summary!$P$42:$Q$43,2)</f>
        <v>86</v>
      </c>
      <c r="F1067">
        <f>IF(LEFT(A1067,3)="B60",20,IF(LEFT(A1067,3)="B12",30,25))+B1067*0.5+INT(Summary!M1080*20)</f>
        <v>780</v>
      </c>
      <c r="G1067">
        <f>ROUND(IF(OR(ISERROR(FIND(Summary!$P$89,CONCATENATE(C1067,D1067,E1067))),ISERROR(FIND(Summary!$Q$89,A1067))),Summary!$R$45,IF(H1067&gt;Summary!$V$3,Summary!$R$46,Summary!$R$45))*(B1067+30),0)</f>
        <v>15</v>
      </c>
      <c r="H1067">
        <f>IF(H1066&gt;Summary!$V$4,0,H1066+F1066)</f>
        <v>13663</v>
      </c>
      <c r="I1067" s="26">
        <f>DATE(YEAR(Summary!$V$2),MONTH(Summary!$V$2),DAY(Summary!$V$2)+INT(H1067/480))</f>
        <v>43618</v>
      </c>
      <c r="J1067" s="27">
        <f t="shared" si="17"/>
        <v>0.48819444444444443</v>
      </c>
    </row>
    <row r="1068" spans="1:10">
      <c r="A1068" t="str">
        <f>VLOOKUP(Summary!M1067,Summary!$P$13:$Q$24,2)</f>
        <v>B1200-plum</v>
      </c>
      <c r="B1068">
        <f>ROUND(NORMINV(Summary!M1069,VLOOKUP(A1068,Summary!$Q$13:$S$24,3,FALSE),VLOOKUP(A1068,Summary!$Q$13:$S$24,3,FALSE)/6),-1)</f>
        <v>400</v>
      </c>
      <c r="C1068" t="str">
        <f>IF(AND(H1068=0,C1067=Summary!$P$2),Summary!$Q$2,IF(AND(H1068=0,C1067=Summary!$Q$2),Summary!$R$2,C1067))</f>
        <v>Jared</v>
      </c>
      <c r="D1068" t="str">
        <f>IF(C1068=Summary!$P$26,VLOOKUP(Summary!M1075,Summary!$Q$26:$R$27,2),IF('Run Data'!C1068=Summary!$P$28,VLOOKUP(Summary!M1075,Summary!$Q$28:$R$29,2),VLOOKUP(Summary!M1075,Summary!$Q$30:$R$32,2)))</f>
        <v>Sprig 2</v>
      </c>
      <c r="E1068" t="str">
        <f>VLOOKUP(Summary!M1078,Summary!$P$42:$Q$43,2)</f>
        <v>86</v>
      </c>
      <c r="F1068">
        <f>IF(LEFT(A1068,3)="B60",20,IF(LEFT(A1068,3)="B12",30,25))+B1068*0.5+INT(Summary!M1081*20)</f>
        <v>249</v>
      </c>
      <c r="G1068">
        <f>ROUND(IF(OR(ISERROR(FIND(Summary!$P$89,CONCATENATE(C1068,D1068,E1068))),ISERROR(FIND(Summary!$Q$89,A1068))),Summary!$R$45,IF(H1068&gt;Summary!$V$3,Summary!$R$46,Summary!$R$45))*(B1068+30),0)</f>
        <v>4</v>
      </c>
      <c r="H1068">
        <f>IF(H1067&gt;Summary!$V$4,0,H1067+F1067)</f>
        <v>14443</v>
      </c>
      <c r="I1068" s="26">
        <f>DATE(YEAR(Summary!$V$2),MONTH(Summary!$V$2),DAY(Summary!$V$2)+INT(H1068/480))</f>
        <v>43620</v>
      </c>
      <c r="J1068" s="27">
        <f t="shared" si="17"/>
        <v>0.36319444444444443</v>
      </c>
    </row>
    <row r="1069" spans="1:10">
      <c r="A1069" t="str">
        <f>VLOOKUP(Summary!M1068,Summary!$P$13:$Q$24,2)</f>
        <v>B1700-fire</v>
      </c>
      <c r="B1069">
        <f>ROUND(NORMINV(Summary!M1070,VLOOKUP(A1069,Summary!$Q$13:$S$24,3,FALSE),VLOOKUP(A1069,Summary!$Q$13:$S$24,3,FALSE)/6),-1)</f>
        <v>920</v>
      </c>
      <c r="C1069" t="str">
        <f>IF(AND(H1069=0,C1068=Summary!$P$2),Summary!$Q$2,IF(AND(H1069=0,C1068=Summary!$Q$2),Summary!$R$2,C1068))</f>
        <v>Jared</v>
      </c>
      <c r="D1069" t="str">
        <f>IF(C1069=Summary!$P$26,VLOOKUP(Summary!M1076,Summary!$Q$26:$R$27,2),IF('Run Data'!C1069=Summary!$P$28,VLOOKUP(Summary!M1076,Summary!$Q$28:$R$29,2),VLOOKUP(Summary!M1076,Summary!$Q$30:$R$32,2)))</f>
        <v>Sprig 3</v>
      </c>
      <c r="E1069" t="str">
        <f>VLOOKUP(Summary!M1079,Summary!$P$42:$Q$43,2)</f>
        <v>87b</v>
      </c>
      <c r="F1069">
        <f>IF(LEFT(A1069,3)="B60",20,IF(LEFT(A1069,3)="B12",30,25))+B1069*0.5+INT(Summary!M1082*20)</f>
        <v>486</v>
      </c>
      <c r="G1069">
        <f>ROUND(IF(OR(ISERROR(FIND(Summary!$P$89,CONCATENATE(C1069,D1069,E1069))),ISERROR(FIND(Summary!$Q$89,A1069))),Summary!$R$45,IF(H1069&gt;Summary!$V$3,Summary!$R$46,Summary!$R$45))*(B1069+30),0)</f>
        <v>10</v>
      </c>
      <c r="H1069">
        <f>IF(H1068&gt;Summary!$V$4,0,H1068+F1068)</f>
        <v>14692</v>
      </c>
      <c r="I1069" s="26">
        <f>DATE(YEAR(Summary!$V$2),MONTH(Summary!$V$2),DAY(Summary!$V$2)+INT(H1069/480))</f>
        <v>43620</v>
      </c>
      <c r="J1069" s="27">
        <f t="shared" si="17"/>
        <v>0.53611111111111109</v>
      </c>
    </row>
    <row r="1070" spans="1:10">
      <c r="A1070" t="str">
        <f>VLOOKUP(Summary!M1069,Summary!$P$13:$Q$24,2)</f>
        <v>B1200-plum</v>
      </c>
      <c r="B1070">
        <f>ROUND(NORMINV(Summary!M1071,VLOOKUP(A1070,Summary!$Q$13:$S$24,3,FALSE),VLOOKUP(A1070,Summary!$Q$13:$S$24,3,FALSE)/6),-1)</f>
        <v>550</v>
      </c>
      <c r="C1070" t="str">
        <f>IF(AND(H1070=0,C1069=Summary!$P$2),Summary!$Q$2,IF(AND(H1070=0,C1069=Summary!$Q$2),Summary!$R$2,C1069))</f>
        <v>Jared</v>
      </c>
      <c r="D1070" t="str">
        <f>IF(C1070=Summary!$P$26,VLOOKUP(Summary!M1077,Summary!$Q$26:$R$27,2),IF('Run Data'!C1070=Summary!$P$28,VLOOKUP(Summary!M1077,Summary!$Q$28:$R$29,2),VLOOKUP(Summary!M1077,Summary!$Q$30:$R$32,2)))</f>
        <v>Sprig 2</v>
      </c>
      <c r="E1070" t="str">
        <f>VLOOKUP(Summary!M1080,Summary!$P$42:$Q$43,2)</f>
        <v>86</v>
      </c>
      <c r="F1070">
        <f>IF(LEFT(A1070,3)="B60",20,IF(LEFT(A1070,3)="B12",30,25))+B1070*0.5+INT(Summary!M1083*20)</f>
        <v>310</v>
      </c>
      <c r="G1070">
        <f>ROUND(IF(OR(ISERROR(FIND(Summary!$P$89,CONCATENATE(C1070,D1070,E1070))),ISERROR(FIND(Summary!$Q$89,A1070))),Summary!$R$45,IF(H1070&gt;Summary!$V$3,Summary!$R$46,Summary!$R$45))*(B1070+30),0)</f>
        <v>6</v>
      </c>
      <c r="H1070">
        <f>IF(H1069&gt;Summary!$V$4,0,H1069+F1069)</f>
        <v>15178</v>
      </c>
      <c r="I1070" s="26">
        <f>DATE(YEAR(Summary!$V$2),MONTH(Summary!$V$2),DAY(Summary!$V$2)+INT(H1070/480))</f>
        <v>43621</v>
      </c>
      <c r="J1070" s="27">
        <f t="shared" si="17"/>
        <v>0.54027777777777775</v>
      </c>
    </row>
    <row r="1071" spans="1:10">
      <c r="A1071" t="str">
        <f>VLOOKUP(Summary!M1070,Summary!$P$13:$Q$24,2)</f>
        <v>B1700-lime</v>
      </c>
      <c r="B1071">
        <f>ROUND(NORMINV(Summary!M1072,VLOOKUP(A1071,Summary!$Q$13:$S$24,3,FALSE),VLOOKUP(A1071,Summary!$Q$13:$S$24,3,FALSE)/6),-1)</f>
        <v>260</v>
      </c>
      <c r="C1071" t="str">
        <f>IF(AND(H1071=0,C1070=Summary!$P$2),Summary!$Q$2,IF(AND(H1071=0,C1070=Summary!$Q$2),Summary!$R$2,C1070))</f>
        <v>Jared</v>
      </c>
      <c r="D1071" t="str">
        <f>IF(C1071=Summary!$P$26,VLOOKUP(Summary!M1078,Summary!$Q$26:$R$27,2),IF('Run Data'!C1071=Summary!$P$28,VLOOKUP(Summary!M1078,Summary!$Q$28:$R$29,2),VLOOKUP(Summary!M1078,Summary!$Q$30:$R$32,2)))</f>
        <v>Sprig 1</v>
      </c>
      <c r="E1071" t="str">
        <f>VLOOKUP(Summary!M1081,Summary!$P$42:$Q$43,2)</f>
        <v>87b</v>
      </c>
      <c r="F1071">
        <f>IF(LEFT(A1071,3)="B60",20,IF(LEFT(A1071,3)="B12",30,25))+B1071*0.5+INT(Summary!M1084*20)</f>
        <v>165</v>
      </c>
      <c r="G1071">
        <f>ROUND(IF(OR(ISERROR(FIND(Summary!$P$89,CONCATENATE(C1071,D1071,E1071))),ISERROR(FIND(Summary!$Q$89,A1071))),Summary!$R$45,IF(H1071&gt;Summary!$V$3,Summary!$R$46,Summary!$R$45))*(B1071+30),0)</f>
        <v>3</v>
      </c>
      <c r="H1071">
        <f>IF(H1070&gt;Summary!$V$4,0,H1070+F1070)</f>
        <v>15488</v>
      </c>
      <c r="I1071" s="26">
        <f>DATE(YEAR(Summary!$V$2),MONTH(Summary!$V$2),DAY(Summary!$V$2)+INT(H1071/480))</f>
        <v>43622</v>
      </c>
      <c r="J1071" s="27">
        <f t="shared" si="17"/>
        <v>0.42222222222222222</v>
      </c>
    </row>
    <row r="1072" spans="1:10">
      <c r="A1072" t="str">
        <f>VLOOKUP(Summary!M1071,Summary!$P$13:$Q$24,2)</f>
        <v>B1700-lime</v>
      </c>
      <c r="B1072">
        <f>ROUND(NORMINV(Summary!M1073,VLOOKUP(A1072,Summary!$Q$13:$S$24,3,FALSE),VLOOKUP(A1072,Summary!$Q$13:$S$24,3,FALSE)/6),-1)</f>
        <v>390</v>
      </c>
      <c r="C1072" t="str">
        <f>IF(AND(H1072=0,C1071=Summary!$P$2),Summary!$Q$2,IF(AND(H1072=0,C1071=Summary!$Q$2),Summary!$R$2,C1071))</f>
        <v>Jared</v>
      </c>
      <c r="D1072" t="str">
        <f>IF(C1072=Summary!$P$26,VLOOKUP(Summary!M1079,Summary!$Q$26:$R$27,2),IF('Run Data'!C1072=Summary!$P$28,VLOOKUP(Summary!M1079,Summary!$Q$28:$R$29,2),VLOOKUP(Summary!M1079,Summary!$Q$30:$R$32,2)))</f>
        <v>Sprig 3</v>
      </c>
      <c r="E1072" t="str">
        <f>VLOOKUP(Summary!M1082,Summary!$P$42:$Q$43,2)</f>
        <v>86</v>
      </c>
      <c r="F1072">
        <f>IF(LEFT(A1072,3)="B60",20,IF(LEFT(A1072,3)="B12",30,25))+B1072*0.5+INT(Summary!M1085*20)</f>
        <v>221</v>
      </c>
      <c r="G1072">
        <f>ROUND(IF(OR(ISERROR(FIND(Summary!$P$89,CONCATENATE(C1072,D1072,E1072))),ISERROR(FIND(Summary!$Q$89,A1072))),Summary!$R$45,IF(H1072&gt;Summary!$V$3,Summary!$R$46,Summary!$R$45))*(B1072+30),0)</f>
        <v>4</v>
      </c>
      <c r="H1072">
        <f>IF(H1071&gt;Summary!$V$4,0,H1071+F1071)</f>
        <v>15653</v>
      </c>
      <c r="I1072" s="26">
        <f>DATE(YEAR(Summary!$V$2),MONTH(Summary!$V$2),DAY(Summary!$V$2)+INT(H1072/480))</f>
        <v>43622</v>
      </c>
      <c r="J1072" s="27">
        <f t="shared" si="17"/>
        <v>0.53680555555555554</v>
      </c>
    </row>
    <row r="1073" spans="1:10">
      <c r="A1073" t="str">
        <f>VLOOKUP(Summary!M1072,Summary!$P$13:$Q$24,2)</f>
        <v>B600-plum</v>
      </c>
      <c r="B1073">
        <f>ROUND(NORMINV(Summary!M1074,VLOOKUP(A1073,Summary!$Q$13:$S$24,3,FALSE),VLOOKUP(A1073,Summary!$Q$13:$S$24,3,FALSE)/6),-1)</f>
        <v>170</v>
      </c>
      <c r="C1073" t="str">
        <f>IF(AND(H1073=0,C1072=Summary!$P$2),Summary!$Q$2,IF(AND(H1073=0,C1072=Summary!$Q$2),Summary!$R$2,C1072))</f>
        <v>Jared</v>
      </c>
      <c r="D1073" t="str">
        <f>IF(C1073=Summary!$P$26,VLOOKUP(Summary!M1080,Summary!$Q$26:$R$27,2),IF('Run Data'!C1073=Summary!$P$28,VLOOKUP(Summary!M1080,Summary!$Q$28:$R$29,2),VLOOKUP(Summary!M1080,Summary!$Q$30:$R$32,2)))</f>
        <v>Sprig 3</v>
      </c>
      <c r="E1073" t="str">
        <f>VLOOKUP(Summary!M1083,Summary!$P$42:$Q$43,2)</f>
        <v>86</v>
      </c>
      <c r="F1073">
        <f>IF(LEFT(A1073,3)="B60",20,IF(LEFT(A1073,3)="B12",30,25))+B1073*0.5+INT(Summary!M1086*20)</f>
        <v>115</v>
      </c>
      <c r="G1073">
        <f>ROUND(IF(OR(ISERROR(FIND(Summary!$P$89,CONCATENATE(C1073,D1073,E1073))),ISERROR(FIND(Summary!$Q$89,A1073))),Summary!$R$45,IF(H1073&gt;Summary!$V$3,Summary!$R$46,Summary!$R$45))*(B1073+30),0)</f>
        <v>2</v>
      </c>
      <c r="H1073">
        <f>IF(H1072&gt;Summary!$V$4,0,H1072+F1072)</f>
        <v>15874</v>
      </c>
      <c r="I1073" s="26">
        <f>DATE(YEAR(Summary!$V$2),MONTH(Summary!$V$2),DAY(Summary!$V$2)+INT(H1073/480))</f>
        <v>43623</v>
      </c>
      <c r="J1073" s="27">
        <f t="shared" si="17"/>
        <v>0.35694444444444445</v>
      </c>
    </row>
    <row r="1074" spans="1:10">
      <c r="A1074" t="str">
        <f>VLOOKUP(Summary!M1073,Summary!$P$13:$Q$24,2)</f>
        <v>B1200-sky</v>
      </c>
      <c r="B1074">
        <f>ROUND(NORMINV(Summary!M1075,VLOOKUP(A1074,Summary!$Q$13:$S$24,3,FALSE),VLOOKUP(A1074,Summary!$Q$13:$S$24,3,FALSE)/6),-1)</f>
        <v>1070</v>
      </c>
      <c r="C1074" t="str">
        <f>IF(AND(H1074=0,C1073=Summary!$P$2),Summary!$Q$2,IF(AND(H1074=0,C1073=Summary!$Q$2),Summary!$R$2,C1073))</f>
        <v>Jared</v>
      </c>
      <c r="D1074" t="str">
        <f>IF(C1074=Summary!$P$26,VLOOKUP(Summary!M1081,Summary!$Q$26:$R$27,2),IF('Run Data'!C1074=Summary!$P$28,VLOOKUP(Summary!M1081,Summary!$Q$28:$R$29,2),VLOOKUP(Summary!M1081,Summary!$Q$30:$R$32,2)))</f>
        <v>Sprig 3</v>
      </c>
      <c r="E1074" t="str">
        <f>VLOOKUP(Summary!M1084,Summary!$P$42:$Q$43,2)</f>
        <v>86</v>
      </c>
      <c r="F1074">
        <f>IF(LEFT(A1074,3)="B60",20,IF(LEFT(A1074,3)="B12",30,25))+B1074*0.5+INT(Summary!M1087*20)</f>
        <v>575</v>
      </c>
      <c r="G1074">
        <f>ROUND(IF(OR(ISERROR(FIND(Summary!$P$89,CONCATENATE(C1074,D1074,E1074))),ISERROR(FIND(Summary!$Q$89,A1074))),Summary!$R$45,IF(H1074&gt;Summary!$V$3,Summary!$R$46,Summary!$R$45))*(B1074+30),0)</f>
        <v>11</v>
      </c>
      <c r="H1074">
        <f>IF(H1073&gt;Summary!$V$4,0,H1073+F1073)</f>
        <v>15989</v>
      </c>
      <c r="I1074" s="26">
        <f>DATE(YEAR(Summary!$V$2),MONTH(Summary!$V$2),DAY(Summary!$V$2)+INT(H1074/480))</f>
        <v>43623</v>
      </c>
      <c r="J1074" s="27">
        <f t="shared" si="17"/>
        <v>0.4368055555555555</v>
      </c>
    </row>
    <row r="1075" spans="1:10">
      <c r="A1075" t="str">
        <f>VLOOKUP(Summary!M1074,Summary!$P$13:$Q$24,2)</f>
        <v>B600-lime</v>
      </c>
      <c r="B1075">
        <f>ROUND(NORMINV(Summary!M1076,VLOOKUP(A1075,Summary!$Q$13:$S$24,3,FALSE),VLOOKUP(A1075,Summary!$Q$13:$S$24,3,FALSE)/6),-1)</f>
        <v>320</v>
      </c>
      <c r="C1075" t="str">
        <f>IF(AND(H1075=0,C1074=Summary!$P$2),Summary!$Q$2,IF(AND(H1075=0,C1074=Summary!$Q$2),Summary!$R$2,C1074))</f>
        <v>Jared</v>
      </c>
      <c r="D1075" t="str">
        <f>IF(C1075=Summary!$P$26,VLOOKUP(Summary!M1082,Summary!$Q$26:$R$27,2),IF('Run Data'!C1075=Summary!$P$28,VLOOKUP(Summary!M1082,Summary!$Q$28:$R$29,2),VLOOKUP(Summary!M1082,Summary!$Q$30:$R$32,2)))</f>
        <v>Sprig 1</v>
      </c>
      <c r="E1075" t="str">
        <f>VLOOKUP(Summary!M1085,Summary!$P$42:$Q$43,2)</f>
        <v>86</v>
      </c>
      <c r="F1075">
        <f>IF(LEFT(A1075,3)="B60",20,IF(LEFT(A1075,3)="B12",30,25))+B1075*0.5+INT(Summary!M1088*20)</f>
        <v>193</v>
      </c>
      <c r="G1075">
        <f>ROUND(IF(OR(ISERROR(FIND(Summary!$P$89,CONCATENATE(C1075,D1075,E1075))),ISERROR(FIND(Summary!$Q$89,A1075))),Summary!$R$45,IF(H1075&gt;Summary!$V$3,Summary!$R$46,Summary!$R$45))*(B1075+30),0)</f>
        <v>4</v>
      </c>
      <c r="H1075">
        <f>IF(H1074&gt;Summary!$V$4,0,H1074+F1074)</f>
        <v>16564</v>
      </c>
      <c r="I1075" s="26">
        <f>DATE(YEAR(Summary!$V$2),MONTH(Summary!$V$2),DAY(Summary!$V$2)+INT(H1075/480))</f>
        <v>43624</v>
      </c>
      <c r="J1075" s="27">
        <f t="shared" si="17"/>
        <v>0.50277777777777777</v>
      </c>
    </row>
    <row r="1076" spans="1:10">
      <c r="A1076" t="str">
        <f>VLOOKUP(Summary!M1075,Summary!$P$13:$Q$24,2)</f>
        <v>B1200-plum</v>
      </c>
      <c r="B1076">
        <f>ROUND(NORMINV(Summary!M1077,VLOOKUP(A1076,Summary!$Q$13:$S$24,3,FALSE),VLOOKUP(A1076,Summary!$Q$13:$S$24,3,FALSE)/6),-1)</f>
        <v>400</v>
      </c>
      <c r="C1076" t="str">
        <f>IF(AND(H1076=0,C1075=Summary!$P$2),Summary!$Q$2,IF(AND(H1076=0,C1075=Summary!$Q$2),Summary!$R$2,C1075))</f>
        <v>Jared</v>
      </c>
      <c r="D1076" t="str">
        <f>IF(C1076=Summary!$P$26,VLOOKUP(Summary!M1083,Summary!$Q$26:$R$27,2),IF('Run Data'!C1076=Summary!$P$28,VLOOKUP(Summary!M1083,Summary!$Q$28:$R$29,2),VLOOKUP(Summary!M1083,Summary!$Q$30:$R$32,2)))</f>
        <v>Sprig 2</v>
      </c>
      <c r="E1076" t="str">
        <f>VLOOKUP(Summary!M1086,Summary!$P$42:$Q$43,2)</f>
        <v>86</v>
      </c>
      <c r="F1076">
        <f>IF(LEFT(A1076,3)="B60",20,IF(LEFT(A1076,3)="B12",30,25))+B1076*0.5+INT(Summary!M1089*20)</f>
        <v>249</v>
      </c>
      <c r="G1076">
        <f>ROUND(IF(OR(ISERROR(FIND(Summary!$P$89,CONCATENATE(C1076,D1076,E1076))),ISERROR(FIND(Summary!$Q$89,A1076))),Summary!$R$45,IF(H1076&gt;Summary!$V$3,Summary!$R$46,Summary!$R$45))*(B1076+30),0)</f>
        <v>4</v>
      </c>
      <c r="H1076">
        <f>IF(H1075&gt;Summary!$V$4,0,H1075+F1075)</f>
        <v>16757</v>
      </c>
      <c r="I1076" s="26">
        <f>DATE(YEAR(Summary!$V$2),MONTH(Summary!$V$2),DAY(Summary!$V$2)+INT(H1076/480))</f>
        <v>43624</v>
      </c>
      <c r="J1076" s="27">
        <f t="shared" si="17"/>
        <v>0.63680555555555551</v>
      </c>
    </row>
    <row r="1077" spans="1:10">
      <c r="A1077" t="str">
        <f>VLOOKUP(Summary!M1076,Summary!$P$13:$Q$24,2)</f>
        <v>B1200-lime</v>
      </c>
      <c r="B1077">
        <f>ROUND(NORMINV(Summary!M1078,VLOOKUP(A1077,Summary!$Q$13:$S$24,3,FALSE),VLOOKUP(A1077,Summary!$Q$13:$S$24,3,FALSE)/6),-1)</f>
        <v>690</v>
      </c>
      <c r="C1077" t="str">
        <f>IF(AND(H1077=0,C1076=Summary!$P$2),Summary!$Q$2,IF(AND(H1077=0,C1076=Summary!$Q$2),Summary!$R$2,C1076))</f>
        <v>Jared</v>
      </c>
      <c r="D1077" t="str">
        <f>IF(C1077=Summary!$P$26,VLOOKUP(Summary!M1084,Summary!$Q$26:$R$27,2),IF('Run Data'!C1077=Summary!$P$28,VLOOKUP(Summary!M1084,Summary!$Q$28:$R$29,2),VLOOKUP(Summary!M1084,Summary!$Q$30:$R$32,2)))</f>
        <v>Sprig 2</v>
      </c>
      <c r="E1077" t="str">
        <f>VLOOKUP(Summary!M1087,Summary!$P$42:$Q$43,2)</f>
        <v>86</v>
      </c>
      <c r="F1077">
        <f>IF(LEFT(A1077,3)="B60",20,IF(LEFT(A1077,3)="B12",30,25))+B1077*0.5+INT(Summary!M1090*20)</f>
        <v>387</v>
      </c>
      <c r="G1077">
        <f>ROUND(IF(OR(ISERROR(FIND(Summary!$P$89,CONCATENATE(C1077,D1077,E1077))),ISERROR(FIND(Summary!$Q$89,A1077))),Summary!$R$45,IF(H1077&gt;Summary!$V$3,Summary!$R$46,Summary!$R$45))*(B1077+30),0)</f>
        <v>7</v>
      </c>
      <c r="H1077">
        <f>IF(H1076&gt;Summary!$V$4,0,H1076+F1076)</f>
        <v>17006</v>
      </c>
      <c r="I1077" s="26">
        <f>DATE(YEAR(Summary!$V$2),MONTH(Summary!$V$2),DAY(Summary!$V$2)+INT(H1077/480))</f>
        <v>43625</v>
      </c>
      <c r="J1077" s="27">
        <f t="shared" si="17"/>
        <v>0.47638888888888892</v>
      </c>
    </row>
    <row r="1078" spans="1:10">
      <c r="A1078" t="str">
        <f>VLOOKUP(Summary!M1077,Summary!$P$13:$Q$24,2)</f>
        <v>B1200-plum</v>
      </c>
      <c r="B1078">
        <f>ROUND(NORMINV(Summary!M1079,VLOOKUP(A1078,Summary!$Q$13:$S$24,3,FALSE),VLOOKUP(A1078,Summary!$Q$13:$S$24,3,FALSE)/6),-1)</f>
        <v>540</v>
      </c>
      <c r="C1078" t="str">
        <f>IF(AND(H1078=0,C1077=Summary!$P$2),Summary!$Q$2,IF(AND(H1078=0,C1077=Summary!$Q$2),Summary!$R$2,C1077))</f>
        <v>Jared</v>
      </c>
      <c r="D1078" t="str">
        <f>IF(C1078=Summary!$P$26,VLOOKUP(Summary!M1085,Summary!$Q$26:$R$27,2),IF('Run Data'!C1078=Summary!$P$28,VLOOKUP(Summary!M1085,Summary!$Q$28:$R$29,2),VLOOKUP(Summary!M1085,Summary!$Q$30:$R$32,2)))</f>
        <v>Sprig 1</v>
      </c>
      <c r="E1078" t="str">
        <f>VLOOKUP(Summary!M1088,Summary!$P$42:$Q$43,2)</f>
        <v>86</v>
      </c>
      <c r="F1078">
        <f>IF(LEFT(A1078,3)="B60",20,IF(LEFT(A1078,3)="B12",30,25))+B1078*0.5+INT(Summary!M1091*20)</f>
        <v>315</v>
      </c>
      <c r="G1078">
        <f>ROUND(IF(OR(ISERROR(FIND(Summary!$P$89,CONCATENATE(C1078,D1078,E1078))),ISERROR(FIND(Summary!$Q$89,A1078))),Summary!$R$45,IF(H1078&gt;Summary!$V$3,Summary!$R$46,Summary!$R$45))*(B1078+30),0)</f>
        <v>6</v>
      </c>
      <c r="H1078">
        <f>IF(H1077&gt;Summary!$V$4,0,H1077+F1077)</f>
        <v>17393</v>
      </c>
      <c r="I1078" s="26">
        <f>DATE(YEAR(Summary!$V$2),MONTH(Summary!$V$2),DAY(Summary!$V$2)+INT(H1078/480))</f>
        <v>43626</v>
      </c>
      <c r="J1078" s="27">
        <f t="shared" si="17"/>
        <v>0.41180555555555554</v>
      </c>
    </row>
    <row r="1079" spans="1:10">
      <c r="A1079" t="str">
        <f>VLOOKUP(Summary!M1078,Summary!$P$13:$Q$24,2)</f>
        <v>B600-lime</v>
      </c>
      <c r="B1079">
        <f>ROUND(NORMINV(Summary!M1080,VLOOKUP(A1079,Summary!$Q$13:$S$24,3,FALSE),VLOOKUP(A1079,Summary!$Q$13:$S$24,3,FALSE)/6),-1)</f>
        <v>340</v>
      </c>
      <c r="C1079" t="str">
        <f>IF(AND(H1079=0,C1078=Summary!$P$2),Summary!$Q$2,IF(AND(H1079=0,C1078=Summary!$Q$2),Summary!$R$2,C1078))</f>
        <v>Jared</v>
      </c>
      <c r="D1079" t="str">
        <f>IF(C1079=Summary!$P$26,VLOOKUP(Summary!M1086,Summary!$Q$26:$R$27,2),IF('Run Data'!C1079=Summary!$P$28,VLOOKUP(Summary!M1086,Summary!$Q$28:$R$29,2),VLOOKUP(Summary!M1086,Summary!$Q$30:$R$32,2)))</f>
        <v>Sprig 2</v>
      </c>
      <c r="E1079" t="str">
        <f>VLOOKUP(Summary!M1089,Summary!$P$42:$Q$43,2)</f>
        <v>87b</v>
      </c>
      <c r="F1079">
        <f>IF(LEFT(A1079,3)="B60",20,IF(LEFT(A1079,3)="B12",30,25))+B1079*0.5+INT(Summary!M1092*20)</f>
        <v>205</v>
      </c>
      <c r="G1079">
        <f>ROUND(IF(OR(ISERROR(FIND(Summary!$P$89,CONCATENATE(C1079,D1079,E1079))),ISERROR(FIND(Summary!$Q$89,A1079))),Summary!$R$45,IF(H1079&gt;Summary!$V$3,Summary!$R$46,Summary!$R$45))*(B1079+30),0)</f>
        <v>4</v>
      </c>
      <c r="H1079">
        <f>IF(H1078&gt;Summary!$V$4,0,H1078+F1078)</f>
        <v>17708</v>
      </c>
      <c r="I1079" s="26">
        <f>DATE(YEAR(Summary!$V$2),MONTH(Summary!$V$2),DAY(Summary!$V$2)+INT(H1079/480))</f>
        <v>43626</v>
      </c>
      <c r="J1079" s="27">
        <f t="shared" si="17"/>
        <v>0.63055555555555554</v>
      </c>
    </row>
    <row r="1080" spans="1:10">
      <c r="A1080" t="str">
        <f>VLOOKUP(Summary!M1079,Summary!$P$13:$Q$24,2)</f>
        <v>B1700-fire</v>
      </c>
      <c r="B1080">
        <f>ROUND(NORMINV(Summary!M1081,VLOOKUP(A1080,Summary!$Q$13:$S$24,3,FALSE),VLOOKUP(A1080,Summary!$Q$13:$S$24,3,FALSE)/6),-1)</f>
        <v>1030</v>
      </c>
      <c r="C1080" t="str">
        <f>IF(AND(H1080=0,C1079=Summary!$P$2),Summary!$Q$2,IF(AND(H1080=0,C1079=Summary!$Q$2),Summary!$R$2,C1079))</f>
        <v>Jared</v>
      </c>
      <c r="D1080" t="str">
        <f>IF(C1080=Summary!$P$26,VLOOKUP(Summary!M1087,Summary!$Q$26:$R$27,2),IF('Run Data'!C1080=Summary!$P$28,VLOOKUP(Summary!M1087,Summary!$Q$28:$R$29,2),VLOOKUP(Summary!M1087,Summary!$Q$30:$R$32,2)))</f>
        <v>Sprig 2</v>
      </c>
      <c r="E1080" t="str">
        <f>VLOOKUP(Summary!M1090,Summary!$P$42:$Q$43,2)</f>
        <v>86</v>
      </c>
      <c r="F1080">
        <f>IF(LEFT(A1080,3)="B60",20,IF(LEFT(A1080,3)="B12",30,25))+B1080*0.5+INT(Summary!M1093*20)</f>
        <v>555</v>
      </c>
      <c r="G1080">
        <f>ROUND(IF(OR(ISERROR(FIND(Summary!$P$89,CONCATENATE(C1080,D1080,E1080))),ISERROR(FIND(Summary!$Q$89,A1080))),Summary!$R$45,IF(H1080&gt;Summary!$V$3,Summary!$R$46,Summary!$R$45))*(B1080+30),0)</f>
        <v>11</v>
      </c>
      <c r="H1080">
        <f>IF(H1079&gt;Summary!$V$4,0,H1079+F1079)</f>
        <v>17913</v>
      </c>
      <c r="I1080" s="26">
        <f>DATE(YEAR(Summary!$V$2),MONTH(Summary!$V$2),DAY(Summary!$V$2)+INT(H1080/480))</f>
        <v>43627</v>
      </c>
      <c r="J1080" s="27">
        <f t="shared" si="17"/>
        <v>0.43958333333333338</v>
      </c>
    </row>
    <row r="1081" spans="1:10">
      <c r="A1081" t="str">
        <f>VLOOKUP(Summary!M1080,Summary!$P$13:$Q$24,2)</f>
        <v>B1700-sky</v>
      </c>
      <c r="B1081">
        <f>ROUND(NORMINV(Summary!M1082,VLOOKUP(A1081,Summary!$Q$13:$S$24,3,FALSE),VLOOKUP(A1081,Summary!$Q$13:$S$24,3,FALSE)/6),-1)</f>
        <v>420</v>
      </c>
      <c r="C1081" t="str">
        <f>IF(AND(H1081=0,C1080=Summary!$P$2),Summary!$Q$2,IF(AND(H1081=0,C1080=Summary!$Q$2),Summary!$R$2,C1080))</f>
        <v>Jared</v>
      </c>
      <c r="D1081" t="str">
        <f>IF(C1081=Summary!$P$26,VLOOKUP(Summary!M1088,Summary!$Q$26:$R$27,2),IF('Run Data'!C1081=Summary!$P$28,VLOOKUP(Summary!M1088,Summary!$Q$28:$R$29,2),VLOOKUP(Summary!M1088,Summary!$Q$30:$R$32,2)))</f>
        <v>Sprig 3</v>
      </c>
      <c r="E1081" t="str">
        <f>VLOOKUP(Summary!M1091,Summary!$P$42:$Q$43,2)</f>
        <v>86</v>
      </c>
      <c r="F1081">
        <f>IF(LEFT(A1081,3)="B60",20,IF(LEFT(A1081,3)="B12",30,25))+B1081*0.5+INT(Summary!M1094*20)</f>
        <v>242</v>
      </c>
      <c r="G1081">
        <f>ROUND(IF(OR(ISERROR(FIND(Summary!$P$89,CONCATENATE(C1081,D1081,E1081))),ISERROR(FIND(Summary!$Q$89,A1081))),Summary!$R$45,IF(H1081&gt;Summary!$V$3,Summary!$R$46,Summary!$R$45))*(B1081+30),0)</f>
        <v>5</v>
      </c>
      <c r="H1081">
        <f>IF(H1080&gt;Summary!$V$4,0,H1080+F1080)</f>
        <v>18468</v>
      </c>
      <c r="I1081" s="26">
        <f>DATE(YEAR(Summary!$V$2),MONTH(Summary!$V$2),DAY(Summary!$V$2)+INT(H1081/480))</f>
        <v>43628</v>
      </c>
      <c r="J1081" s="27">
        <f t="shared" si="17"/>
        <v>0.4916666666666667</v>
      </c>
    </row>
    <row r="1082" spans="1:10">
      <c r="A1082" t="str">
        <f>VLOOKUP(Summary!M1081,Summary!$P$13:$Q$24,2)</f>
        <v>B1700-lime</v>
      </c>
      <c r="B1082">
        <f>ROUND(NORMINV(Summary!M1083,VLOOKUP(A1082,Summary!$Q$13:$S$24,3,FALSE),VLOOKUP(A1082,Summary!$Q$13:$S$24,3,FALSE)/6),-1)</f>
        <v>360</v>
      </c>
      <c r="C1082" t="str">
        <f>IF(AND(H1082=0,C1081=Summary!$P$2),Summary!$Q$2,IF(AND(H1082=0,C1081=Summary!$Q$2),Summary!$R$2,C1081))</f>
        <v>Jared</v>
      </c>
      <c r="D1082" t="str">
        <f>IF(C1082=Summary!$P$26,VLOOKUP(Summary!M1089,Summary!$Q$26:$R$27,2),IF('Run Data'!C1082=Summary!$P$28,VLOOKUP(Summary!M1089,Summary!$Q$28:$R$29,2),VLOOKUP(Summary!M1089,Summary!$Q$30:$R$32,2)))</f>
        <v>Sprig 3</v>
      </c>
      <c r="E1082" t="str">
        <f>VLOOKUP(Summary!M1092,Summary!$P$42:$Q$43,2)</f>
        <v>86</v>
      </c>
      <c r="F1082">
        <f>IF(LEFT(A1082,3)="B60",20,IF(LEFT(A1082,3)="B12",30,25))+B1082*0.5+INT(Summary!M1095*20)</f>
        <v>210</v>
      </c>
      <c r="G1082">
        <f>ROUND(IF(OR(ISERROR(FIND(Summary!$P$89,CONCATENATE(C1082,D1082,E1082))),ISERROR(FIND(Summary!$Q$89,A1082))),Summary!$R$45,IF(H1082&gt;Summary!$V$3,Summary!$R$46,Summary!$R$45))*(B1082+30),0)</f>
        <v>4</v>
      </c>
      <c r="H1082">
        <f>IF(H1081&gt;Summary!$V$4,0,H1081+F1081)</f>
        <v>18710</v>
      </c>
      <c r="I1082" s="26">
        <f>DATE(YEAR(Summary!$V$2),MONTH(Summary!$V$2),DAY(Summary!$V$2)+INT(H1082/480))</f>
        <v>43628</v>
      </c>
      <c r="J1082" s="27">
        <f t="shared" si="17"/>
        <v>0.65972222222222221</v>
      </c>
    </row>
    <row r="1083" spans="1:10">
      <c r="A1083" t="str">
        <f>VLOOKUP(Summary!M1082,Summary!$P$13:$Q$24,2)</f>
        <v>B600-sky</v>
      </c>
      <c r="B1083">
        <f>ROUND(NORMINV(Summary!M1084,VLOOKUP(A1083,Summary!$Q$13:$S$24,3,FALSE),VLOOKUP(A1083,Summary!$Q$13:$S$24,3,FALSE)/6),-1)</f>
        <v>500</v>
      </c>
      <c r="C1083" t="str">
        <f>IF(AND(H1083=0,C1082=Summary!$P$2),Summary!$Q$2,IF(AND(H1083=0,C1082=Summary!$Q$2),Summary!$R$2,C1082))</f>
        <v>Jared</v>
      </c>
      <c r="D1083" t="str">
        <f>IF(C1083=Summary!$P$26,VLOOKUP(Summary!M1090,Summary!$Q$26:$R$27,2),IF('Run Data'!C1083=Summary!$P$28,VLOOKUP(Summary!M1090,Summary!$Q$28:$R$29,2),VLOOKUP(Summary!M1090,Summary!$Q$30:$R$32,2)))</f>
        <v>Sprig 3</v>
      </c>
      <c r="E1083" t="str">
        <f>VLOOKUP(Summary!M1093,Summary!$P$42:$Q$43,2)</f>
        <v>86</v>
      </c>
      <c r="F1083">
        <f>IF(LEFT(A1083,3)="B60",20,IF(LEFT(A1083,3)="B12",30,25))+B1083*0.5+INT(Summary!M1096*20)</f>
        <v>274</v>
      </c>
      <c r="G1083">
        <f>ROUND(IF(OR(ISERROR(FIND(Summary!$P$89,CONCATENATE(C1083,D1083,E1083))),ISERROR(FIND(Summary!$Q$89,A1083))),Summary!$R$45,IF(H1083&gt;Summary!$V$3,Summary!$R$46,Summary!$R$45))*(B1083+30),0)</f>
        <v>5</v>
      </c>
      <c r="H1083">
        <f>IF(H1082&gt;Summary!$V$4,0,H1082+F1082)</f>
        <v>18920</v>
      </c>
      <c r="I1083" s="26">
        <f>DATE(YEAR(Summary!$V$2),MONTH(Summary!$V$2),DAY(Summary!$V$2)+INT(H1083/480))</f>
        <v>43629</v>
      </c>
      <c r="J1083" s="27">
        <f t="shared" si="17"/>
        <v>0.47222222222222227</v>
      </c>
    </row>
    <row r="1084" spans="1:10">
      <c r="A1084" t="str">
        <f>VLOOKUP(Summary!M1083,Summary!$P$13:$Q$24,2)</f>
        <v>B1200-plum</v>
      </c>
      <c r="B1084">
        <f>ROUND(NORMINV(Summary!M1085,VLOOKUP(A1084,Summary!$Q$13:$S$24,3,FALSE),VLOOKUP(A1084,Summary!$Q$13:$S$24,3,FALSE)/6),-1)</f>
        <v>340</v>
      </c>
      <c r="C1084" t="str">
        <f>IF(AND(H1084=0,C1083=Summary!$P$2),Summary!$Q$2,IF(AND(H1084=0,C1083=Summary!$Q$2),Summary!$R$2,C1083))</f>
        <v>Jared</v>
      </c>
      <c r="D1084" t="str">
        <f>IF(C1084=Summary!$P$26,VLOOKUP(Summary!M1091,Summary!$Q$26:$R$27,2),IF('Run Data'!C1084=Summary!$P$28,VLOOKUP(Summary!M1091,Summary!$Q$28:$R$29,2),VLOOKUP(Summary!M1091,Summary!$Q$30:$R$32,2)))</f>
        <v>Sprig 3</v>
      </c>
      <c r="E1084" t="str">
        <f>VLOOKUP(Summary!M1094,Summary!$P$42:$Q$43,2)</f>
        <v>86</v>
      </c>
      <c r="F1084">
        <f>IF(LEFT(A1084,3)="B60",20,IF(LEFT(A1084,3)="B12",30,25))+B1084*0.5+INT(Summary!M1097*20)</f>
        <v>210</v>
      </c>
      <c r="G1084">
        <f>ROUND(IF(OR(ISERROR(FIND(Summary!$P$89,CONCATENATE(C1084,D1084,E1084))),ISERROR(FIND(Summary!$Q$89,A1084))),Summary!$R$45,IF(H1084&gt;Summary!$V$3,Summary!$R$46,Summary!$R$45))*(B1084+30),0)</f>
        <v>4</v>
      </c>
      <c r="H1084">
        <f>IF(H1083&gt;Summary!$V$4,0,H1083+F1083)</f>
        <v>19194</v>
      </c>
      <c r="I1084" s="26">
        <f>DATE(YEAR(Summary!$V$2),MONTH(Summary!$V$2),DAY(Summary!$V$2)+INT(H1084/480))</f>
        <v>43629</v>
      </c>
      <c r="J1084" s="27">
        <f t="shared" si="17"/>
        <v>0.66249999999999998</v>
      </c>
    </row>
    <row r="1085" spans="1:10">
      <c r="A1085" t="str">
        <f>VLOOKUP(Summary!M1084,Summary!$P$13:$Q$24,2)</f>
        <v>B1200-fire</v>
      </c>
      <c r="B1085">
        <f>ROUND(NORMINV(Summary!M1086,VLOOKUP(A1085,Summary!$Q$13:$S$24,3,FALSE),VLOOKUP(A1085,Summary!$Q$13:$S$24,3,FALSE)/6),-1)</f>
        <v>1220</v>
      </c>
      <c r="C1085" t="str">
        <f>IF(AND(H1085=0,C1084=Summary!$P$2),Summary!$Q$2,IF(AND(H1085=0,C1084=Summary!$Q$2),Summary!$R$2,C1084))</f>
        <v>Jared</v>
      </c>
      <c r="D1085" t="str">
        <f>IF(C1085=Summary!$P$26,VLOOKUP(Summary!M1092,Summary!$Q$26:$R$27,2),IF('Run Data'!C1085=Summary!$P$28,VLOOKUP(Summary!M1092,Summary!$Q$28:$R$29,2),VLOOKUP(Summary!M1092,Summary!$Q$30:$R$32,2)))</f>
        <v>Sprig 3</v>
      </c>
      <c r="E1085" t="str">
        <f>VLOOKUP(Summary!M1095,Summary!$P$42:$Q$43,2)</f>
        <v>86</v>
      </c>
      <c r="F1085">
        <f>IF(LEFT(A1085,3)="B60",20,IF(LEFT(A1085,3)="B12",30,25))+B1085*0.5+INT(Summary!M1098*20)</f>
        <v>655</v>
      </c>
      <c r="G1085">
        <f>ROUND(IF(OR(ISERROR(FIND(Summary!$P$89,CONCATENATE(C1085,D1085,E1085))),ISERROR(FIND(Summary!$Q$89,A1085))),Summary!$R$45,IF(H1085&gt;Summary!$V$3,Summary!$R$46,Summary!$R$45))*(B1085+30),0)</f>
        <v>13</v>
      </c>
      <c r="H1085">
        <f>IF(H1084&gt;Summary!$V$4,0,H1084+F1084)</f>
        <v>19404</v>
      </c>
      <c r="I1085" s="26">
        <f>DATE(YEAR(Summary!$V$2),MONTH(Summary!$V$2),DAY(Summary!$V$2)+INT(H1085/480))</f>
        <v>43630</v>
      </c>
      <c r="J1085" s="27">
        <f t="shared" si="17"/>
        <v>0.47500000000000003</v>
      </c>
    </row>
    <row r="1086" spans="1:10">
      <c r="A1086" t="str">
        <f>VLOOKUP(Summary!M1085,Summary!$P$13:$Q$24,2)</f>
        <v>B600-sky</v>
      </c>
      <c r="B1086">
        <f>ROUND(NORMINV(Summary!M1087,VLOOKUP(A1086,Summary!$Q$13:$S$24,3,FALSE),VLOOKUP(A1086,Summary!$Q$13:$S$24,3,FALSE)/6),-1)</f>
        <v>500</v>
      </c>
      <c r="C1086" t="str">
        <f>IF(AND(H1086=0,C1085=Summary!$P$2),Summary!$Q$2,IF(AND(H1086=0,C1085=Summary!$Q$2),Summary!$R$2,C1085))</f>
        <v>Jared</v>
      </c>
      <c r="D1086" t="str">
        <f>IF(C1086=Summary!$P$26,VLOOKUP(Summary!M1093,Summary!$Q$26:$R$27,2),IF('Run Data'!C1086=Summary!$P$28,VLOOKUP(Summary!M1093,Summary!$Q$28:$R$29,2),VLOOKUP(Summary!M1093,Summary!$Q$30:$R$32,2)))</f>
        <v>Sprig 3</v>
      </c>
      <c r="E1086" t="str">
        <f>VLOOKUP(Summary!M1096,Summary!$P$42:$Q$43,2)</f>
        <v>86</v>
      </c>
      <c r="F1086">
        <f>IF(LEFT(A1086,3)="B60",20,IF(LEFT(A1086,3)="B12",30,25))+B1086*0.5+INT(Summary!M1099*20)</f>
        <v>285</v>
      </c>
      <c r="G1086">
        <f>ROUND(IF(OR(ISERROR(FIND(Summary!$P$89,CONCATENATE(C1086,D1086,E1086))),ISERROR(FIND(Summary!$Q$89,A1086))),Summary!$R$45,IF(H1086&gt;Summary!$V$3,Summary!$R$46,Summary!$R$45))*(B1086+30),0)</f>
        <v>5</v>
      </c>
      <c r="H1086">
        <f>IF(H1085&gt;Summary!$V$4,0,H1085+F1085)</f>
        <v>20059</v>
      </c>
      <c r="I1086" s="26">
        <f>DATE(YEAR(Summary!$V$2),MONTH(Summary!$V$2),DAY(Summary!$V$2)+INT(H1086/480))</f>
        <v>43631</v>
      </c>
      <c r="J1086" s="27">
        <f t="shared" si="17"/>
        <v>0.59652777777777777</v>
      </c>
    </row>
    <row r="1087" spans="1:10">
      <c r="A1087" t="str">
        <f>VLOOKUP(Summary!M1086,Summary!$P$13:$Q$24,2)</f>
        <v>B1200-fire</v>
      </c>
      <c r="B1087">
        <f>ROUND(NORMINV(Summary!M1088,VLOOKUP(A1087,Summary!$Q$13:$S$24,3,FALSE),VLOOKUP(A1087,Summary!$Q$13:$S$24,3,FALSE)/6),-1)</f>
        <v>1300</v>
      </c>
      <c r="C1087" t="str">
        <f>IF(AND(H1087=0,C1086=Summary!$P$2),Summary!$Q$2,IF(AND(H1087=0,C1086=Summary!$Q$2),Summary!$R$2,C1086))</f>
        <v>Jared</v>
      </c>
      <c r="D1087" t="str">
        <f>IF(C1087=Summary!$P$26,VLOOKUP(Summary!M1094,Summary!$Q$26:$R$27,2),IF('Run Data'!C1087=Summary!$P$28,VLOOKUP(Summary!M1094,Summary!$Q$28:$R$29,2),VLOOKUP(Summary!M1094,Summary!$Q$30:$R$32,2)))</f>
        <v>Sprig 2</v>
      </c>
      <c r="E1087" t="str">
        <f>VLOOKUP(Summary!M1097,Summary!$P$42:$Q$43,2)</f>
        <v>86</v>
      </c>
      <c r="F1087">
        <f>IF(LEFT(A1087,3)="B60",20,IF(LEFT(A1087,3)="B12",30,25))+B1087*0.5+INT(Summary!M1100*20)</f>
        <v>692</v>
      </c>
      <c r="G1087">
        <f>ROUND(IF(OR(ISERROR(FIND(Summary!$P$89,CONCATENATE(C1087,D1087,E1087))),ISERROR(FIND(Summary!$Q$89,A1087))),Summary!$R$45,IF(H1087&gt;Summary!$V$3,Summary!$R$46,Summary!$R$45))*(B1087+30),0)</f>
        <v>13</v>
      </c>
      <c r="H1087">
        <f>IF(H1086&gt;Summary!$V$4,0,H1086+F1086)</f>
        <v>20344</v>
      </c>
      <c r="I1087" s="26">
        <f>DATE(YEAR(Summary!$V$2),MONTH(Summary!$V$2),DAY(Summary!$V$2)+INT(H1087/480))</f>
        <v>43632</v>
      </c>
      <c r="J1087" s="27">
        <f t="shared" si="17"/>
        <v>0.46111111111111108</v>
      </c>
    </row>
    <row r="1088" spans="1:10">
      <c r="A1088" t="str">
        <f>VLOOKUP(Summary!M1087,Summary!$P$13:$Q$24,2)</f>
        <v>B1200-fire</v>
      </c>
      <c r="B1088">
        <f>ROUND(NORMINV(Summary!M1089,VLOOKUP(A1088,Summary!$Q$13:$S$24,3,FALSE),VLOOKUP(A1088,Summary!$Q$13:$S$24,3,FALSE)/6),-1)</f>
        <v>1660</v>
      </c>
      <c r="C1088" t="str">
        <f>IF(AND(H1088=0,C1087=Summary!$P$2),Summary!$Q$2,IF(AND(H1088=0,C1087=Summary!$Q$2),Summary!$R$2,C1087))</f>
        <v>Jared</v>
      </c>
      <c r="D1088" t="str">
        <f>IF(C1088=Summary!$P$26,VLOOKUP(Summary!M1095,Summary!$Q$26:$R$27,2),IF('Run Data'!C1088=Summary!$P$28,VLOOKUP(Summary!M1095,Summary!$Q$28:$R$29,2),VLOOKUP(Summary!M1095,Summary!$Q$30:$R$32,2)))</f>
        <v>Sprig 2</v>
      </c>
      <c r="E1088" t="str">
        <f>VLOOKUP(Summary!M1098,Summary!$P$42:$Q$43,2)</f>
        <v>86</v>
      </c>
      <c r="F1088">
        <f>IF(LEFT(A1088,3)="B60",20,IF(LEFT(A1088,3)="B12",30,25))+B1088*0.5+INT(Summary!M1101*20)</f>
        <v>871</v>
      </c>
      <c r="G1088">
        <f>ROUND(IF(OR(ISERROR(FIND(Summary!$P$89,CONCATENATE(C1088,D1088,E1088))),ISERROR(FIND(Summary!$Q$89,A1088))),Summary!$R$45,IF(H1088&gt;Summary!$V$3,Summary!$R$46,Summary!$R$45))*(B1088+30),0)</f>
        <v>17</v>
      </c>
      <c r="H1088">
        <f>IF(H1087&gt;Summary!$V$4,0,H1087+F1087)</f>
        <v>21036</v>
      </c>
      <c r="I1088" s="26">
        <f>DATE(YEAR(Summary!$V$2),MONTH(Summary!$V$2),DAY(Summary!$V$2)+INT(H1088/480))</f>
        <v>43633</v>
      </c>
      <c r="J1088" s="27">
        <f t="shared" si="17"/>
        <v>0.60833333333333328</v>
      </c>
    </row>
    <row r="1089" spans="1:10">
      <c r="A1089" t="str">
        <f>VLOOKUP(Summary!M1088,Summary!$P$13:$Q$24,2)</f>
        <v>B1200-lime</v>
      </c>
      <c r="B1089">
        <f>ROUND(NORMINV(Summary!M1090,VLOOKUP(A1089,Summary!$Q$13:$S$24,3,FALSE),VLOOKUP(A1089,Summary!$Q$13:$S$24,3,FALSE)/6),-1)</f>
        <v>840</v>
      </c>
      <c r="C1089" t="str">
        <f>IF(AND(H1089=0,C1088=Summary!$P$2),Summary!$Q$2,IF(AND(H1089=0,C1088=Summary!$Q$2),Summary!$R$2,C1088))</f>
        <v>Jared</v>
      </c>
      <c r="D1089" t="str">
        <f>IF(C1089=Summary!$P$26,VLOOKUP(Summary!M1096,Summary!$Q$26:$R$27,2),IF('Run Data'!C1089=Summary!$P$28,VLOOKUP(Summary!M1096,Summary!$Q$28:$R$29,2),VLOOKUP(Summary!M1096,Summary!$Q$30:$R$32,2)))</f>
        <v>Sprig 2</v>
      </c>
      <c r="E1089" t="str">
        <f>VLOOKUP(Summary!M1099,Summary!$P$42:$Q$43,2)</f>
        <v>86</v>
      </c>
      <c r="F1089">
        <f>IF(LEFT(A1089,3)="B60",20,IF(LEFT(A1089,3)="B12",30,25))+B1089*0.5+INT(Summary!M1102*20)</f>
        <v>454</v>
      </c>
      <c r="G1089">
        <f>ROUND(IF(OR(ISERROR(FIND(Summary!$P$89,CONCATENATE(C1089,D1089,E1089))),ISERROR(FIND(Summary!$Q$89,A1089))),Summary!$R$45,IF(H1089&gt;Summary!$V$3,Summary!$R$46,Summary!$R$45))*(B1089+30),0)</f>
        <v>9</v>
      </c>
      <c r="H1089">
        <f>IF(H1088&gt;Summary!$V$4,0,H1088+F1088)</f>
        <v>21907</v>
      </c>
      <c r="I1089" s="26">
        <f>DATE(YEAR(Summary!$V$2),MONTH(Summary!$V$2),DAY(Summary!$V$2)+INT(H1089/480))</f>
        <v>43635</v>
      </c>
      <c r="J1089" s="27">
        <f t="shared" si="17"/>
        <v>0.54652777777777783</v>
      </c>
    </row>
    <row r="1090" spans="1:10">
      <c r="A1090" t="str">
        <f>VLOOKUP(Summary!M1089,Summary!$P$13:$Q$24,2)</f>
        <v>B1700-lime</v>
      </c>
      <c r="B1090">
        <f>ROUND(NORMINV(Summary!M1091,VLOOKUP(A1090,Summary!$Q$13:$S$24,3,FALSE),VLOOKUP(A1090,Summary!$Q$13:$S$24,3,FALSE)/6),-1)</f>
        <v>450</v>
      </c>
      <c r="C1090" t="str">
        <f>IF(AND(H1090=0,C1089=Summary!$P$2),Summary!$Q$2,IF(AND(H1090=0,C1089=Summary!$Q$2),Summary!$R$2,C1089))</f>
        <v>Jared</v>
      </c>
      <c r="D1090" t="str">
        <f>IF(C1090=Summary!$P$26,VLOOKUP(Summary!M1097,Summary!$Q$26:$R$27,2),IF('Run Data'!C1090=Summary!$P$28,VLOOKUP(Summary!M1097,Summary!$Q$28:$R$29,2),VLOOKUP(Summary!M1097,Summary!$Q$30:$R$32,2)))</f>
        <v>Sprig 2</v>
      </c>
      <c r="E1090" t="str">
        <f>VLOOKUP(Summary!M1100,Summary!$P$42:$Q$43,2)</f>
        <v>86</v>
      </c>
      <c r="F1090">
        <f>IF(LEFT(A1090,3)="B60",20,IF(LEFT(A1090,3)="B12",30,25))+B1090*0.5+INT(Summary!M1103*20)</f>
        <v>258</v>
      </c>
      <c r="G1090">
        <f>ROUND(IF(OR(ISERROR(FIND(Summary!$P$89,CONCATENATE(C1090,D1090,E1090))),ISERROR(FIND(Summary!$Q$89,A1090))),Summary!$R$45,IF(H1090&gt;Summary!$V$3,Summary!$R$46,Summary!$R$45))*(B1090+30),0)</f>
        <v>5</v>
      </c>
      <c r="H1090">
        <f>IF(H1089&gt;Summary!$V$4,0,H1089+F1089)</f>
        <v>22361</v>
      </c>
      <c r="I1090" s="26">
        <f>DATE(YEAR(Summary!$V$2),MONTH(Summary!$V$2),DAY(Summary!$V$2)+INT(H1090/480))</f>
        <v>43636</v>
      </c>
      <c r="J1090" s="27">
        <f t="shared" si="17"/>
        <v>0.52847222222222223</v>
      </c>
    </row>
    <row r="1091" spans="1:10">
      <c r="A1091" t="str">
        <f>VLOOKUP(Summary!M1090,Summary!$P$13:$Q$24,2)</f>
        <v>B1200-lime</v>
      </c>
      <c r="B1091">
        <f>ROUND(NORMINV(Summary!M1092,VLOOKUP(A1091,Summary!$Q$13:$S$24,3,FALSE),VLOOKUP(A1091,Summary!$Q$13:$S$24,3,FALSE)/6),-1)</f>
        <v>900</v>
      </c>
      <c r="C1091" t="str">
        <f>IF(AND(H1091=0,C1090=Summary!$P$2),Summary!$Q$2,IF(AND(H1091=0,C1090=Summary!$Q$2),Summary!$R$2,C1090))</f>
        <v>Jared</v>
      </c>
      <c r="D1091" t="str">
        <f>IF(C1091=Summary!$P$26,VLOOKUP(Summary!M1098,Summary!$Q$26:$R$27,2),IF('Run Data'!C1091=Summary!$P$28,VLOOKUP(Summary!M1098,Summary!$Q$28:$R$29,2),VLOOKUP(Summary!M1098,Summary!$Q$30:$R$32,2)))</f>
        <v>Sprig 3</v>
      </c>
      <c r="E1091" t="str">
        <f>VLOOKUP(Summary!M1101,Summary!$P$42:$Q$43,2)</f>
        <v>86</v>
      </c>
      <c r="F1091">
        <f>IF(LEFT(A1091,3)="B60",20,IF(LEFT(A1091,3)="B12",30,25))+B1091*0.5+INT(Summary!M1104*20)</f>
        <v>494</v>
      </c>
      <c r="G1091">
        <f>ROUND(IF(OR(ISERROR(FIND(Summary!$P$89,CONCATENATE(C1091,D1091,E1091))),ISERROR(FIND(Summary!$Q$89,A1091))),Summary!$R$45,IF(H1091&gt;Summary!$V$3,Summary!$R$46,Summary!$R$45))*(B1091+30),0)</f>
        <v>9</v>
      </c>
      <c r="H1091">
        <f>IF(H1090&gt;Summary!$V$4,0,H1090+F1090)</f>
        <v>22619</v>
      </c>
      <c r="I1091" s="26">
        <f>DATE(YEAR(Summary!$V$2),MONTH(Summary!$V$2),DAY(Summary!$V$2)+INT(H1091/480))</f>
        <v>43637</v>
      </c>
      <c r="J1091" s="27">
        <f t="shared" si="17"/>
        <v>0.3743055555555555</v>
      </c>
    </row>
    <row r="1092" spans="1:10">
      <c r="A1092" t="str">
        <f>VLOOKUP(Summary!M1091,Summary!$P$13:$Q$24,2)</f>
        <v>B1700-sky</v>
      </c>
      <c r="B1092">
        <f>ROUND(NORMINV(Summary!M1093,VLOOKUP(A1092,Summary!$Q$13:$S$24,3,FALSE),VLOOKUP(A1092,Summary!$Q$13:$S$24,3,FALSE)/6),-1)</f>
        <v>620</v>
      </c>
      <c r="C1092" t="str">
        <f>IF(AND(H1092=0,C1091=Summary!$P$2),Summary!$Q$2,IF(AND(H1092=0,C1091=Summary!$Q$2),Summary!$R$2,C1091))</f>
        <v>Jared</v>
      </c>
      <c r="D1092" t="str">
        <f>IF(C1092=Summary!$P$26,VLOOKUP(Summary!M1099,Summary!$Q$26:$R$27,2),IF('Run Data'!C1092=Summary!$P$28,VLOOKUP(Summary!M1099,Summary!$Q$28:$R$29,2),VLOOKUP(Summary!M1099,Summary!$Q$30:$R$32,2)))</f>
        <v>Sprig 3</v>
      </c>
      <c r="E1092" t="str">
        <f>VLOOKUP(Summary!M1102,Summary!$P$42:$Q$43,2)</f>
        <v>86</v>
      </c>
      <c r="F1092">
        <f>IF(LEFT(A1092,3)="B60",20,IF(LEFT(A1092,3)="B12",30,25))+B1092*0.5+INT(Summary!M1105*20)</f>
        <v>342</v>
      </c>
      <c r="G1092">
        <f>ROUND(IF(OR(ISERROR(FIND(Summary!$P$89,CONCATENATE(C1092,D1092,E1092))),ISERROR(FIND(Summary!$Q$89,A1092))),Summary!$R$45,IF(H1092&gt;Summary!$V$3,Summary!$R$46,Summary!$R$45))*(B1092+30),0)</f>
        <v>7</v>
      </c>
      <c r="H1092">
        <f>IF(H1091&gt;Summary!$V$4,0,H1091+F1091)</f>
        <v>23113</v>
      </c>
      <c r="I1092" s="26">
        <f>DATE(YEAR(Summary!$V$2),MONTH(Summary!$V$2),DAY(Summary!$V$2)+INT(H1092/480))</f>
        <v>43638</v>
      </c>
      <c r="J1092" s="27">
        <f t="shared" si="17"/>
        <v>0.3840277777777778</v>
      </c>
    </row>
    <row r="1093" spans="1:10">
      <c r="A1093" t="str">
        <f>VLOOKUP(Summary!M1092,Summary!$P$13:$Q$24,2)</f>
        <v>B1700-sky</v>
      </c>
      <c r="B1093">
        <f>ROUND(NORMINV(Summary!M1094,VLOOKUP(A1093,Summary!$Q$13:$S$24,3,FALSE),VLOOKUP(A1093,Summary!$Q$13:$S$24,3,FALSE)/6),-1)</f>
        <v>520</v>
      </c>
      <c r="C1093" t="str">
        <f>IF(AND(H1093=0,C1092=Summary!$P$2),Summary!$Q$2,IF(AND(H1093=0,C1092=Summary!$Q$2),Summary!$R$2,C1092))</f>
        <v>Jared</v>
      </c>
      <c r="D1093" t="str">
        <f>IF(C1093=Summary!$P$26,VLOOKUP(Summary!M1100,Summary!$Q$26:$R$27,2),IF('Run Data'!C1093=Summary!$P$28,VLOOKUP(Summary!M1100,Summary!$Q$28:$R$29,2),VLOOKUP(Summary!M1100,Summary!$Q$30:$R$32,2)))</f>
        <v>Sprig 3</v>
      </c>
      <c r="E1093" t="str">
        <f>VLOOKUP(Summary!M1103,Summary!$P$42:$Q$43,2)</f>
        <v>86</v>
      </c>
      <c r="F1093">
        <f>IF(LEFT(A1093,3)="B60",20,IF(LEFT(A1093,3)="B12",30,25))+B1093*0.5+INT(Summary!M1106*20)</f>
        <v>302</v>
      </c>
      <c r="G1093">
        <f>ROUND(IF(OR(ISERROR(FIND(Summary!$P$89,CONCATENATE(C1093,D1093,E1093))),ISERROR(FIND(Summary!$Q$89,A1093))),Summary!$R$45,IF(H1093&gt;Summary!$V$3,Summary!$R$46,Summary!$R$45))*(B1093+30),0)</f>
        <v>6</v>
      </c>
      <c r="H1093">
        <f>IF(H1092&gt;Summary!$V$4,0,H1092+F1092)</f>
        <v>23455</v>
      </c>
      <c r="I1093" s="26">
        <f>DATE(YEAR(Summary!$V$2),MONTH(Summary!$V$2),DAY(Summary!$V$2)+INT(H1093/480))</f>
        <v>43638</v>
      </c>
      <c r="J1093" s="27">
        <f t="shared" si="17"/>
        <v>0.62152777777777779</v>
      </c>
    </row>
    <row r="1094" spans="1:10">
      <c r="A1094" t="str">
        <f>VLOOKUP(Summary!M1093,Summary!$P$13:$Q$24,2)</f>
        <v>B1700-sky</v>
      </c>
      <c r="B1094">
        <f>ROUND(NORMINV(Summary!M1095,VLOOKUP(A1094,Summary!$Q$13:$S$24,3,FALSE),VLOOKUP(A1094,Summary!$Q$13:$S$24,3,FALSE)/6),-1)</f>
        <v>490</v>
      </c>
      <c r="C1094" t="str">
        <f>IF(AND(H1094=0,C1093=Summary!$P$2),Summary!$Q$2,IF(AND(H1094=0,C1093=Summary!$Q$2),Summary!$R$2,C1093))</f>
        <v>Jared</v>
      </c>
      <c r="D1094" t="str">
        <f>IF(C1094=Summary!$P$26,VLOOKUP(Summary!M1101,Summary!$Q$26:$R$27,2),IF('Run Data'!C1094=Summary!$P$28,VLOOKUP(Summary!M1101,Summary!$Q$28:$R$29,2),VLOOKUP(Summary!M1101,Summary!$Q$30:$R$32,2)))</f>
        <v>Sprig 2</v>
      </c>
      <c r="E1094" t="str">
        <f>VLOOKUP(Summary!M1104,Summary!$P$42:$Q$43,2)</f>
        <v>86</v>
      </c>
      <c r="F1094">
        <f>IF(LEFT(A1094,3)="B60",20,IF(LEFT(A1094,3)="B12",30,25))+B1094*0.5+INT(Summary!M1107*20)</f>
        <v>289</v>
      </c>
      <c r="G1094">
        <f>ROUND(IF(OR(ISERROR(FIND(Summary!$P$89,CONCATENATE(C1094,D1094,E1094))),ISERROR(FIND(Summary!$Q$89,A1094))),Summary!$R$45,IF(H1094&gt;Summary!$V$3,Summary!$R$46,Summary!$R$45))*(B1094+30),0)</f>
        <v>5</v>
      </c>
      <c r="H1094">
        <f>IF(H1093&gt;Summary!$V$4,0,H1093+F1093)</f>
        <v>23757</v>
      </c>
      <c r="I1094" s="26">
        <f>DATE(YEAR(Summary!$V$2),MONTH(Summary!$V$2),DAY(Summary!$V$2)+INT(H1094/480))</f>
        <v>43639</v>
      </c>
      <c r="J1094" s="27">
        <f t="shared" si="17"/>
        <v>0.49791666666666662</v>
      </c>
    </row>
    <row r="1095" spans="1:10">
      <c r="A1095" t="str">
        <f>VLOOKUP(Summary!M1094,Summary!$P$13:$Q$24,2)</f>
        <v>B1200-sky</v>
      </c>
      <c r="B1095">
        <f>ROUND(NORMINV(Summary!M1096,VLOOKUP(A1095,Summary!$Q$13:$S$24,3,FALSE),VLOOKUP(A1095,Summary!$Q$13:$S$24,3,FALSE)/6),-1)</f>
        <v>1040</v>
      </c>
      <c r="C1095" t="str">
        <f>IF(AND(H1095=0,C1094=Summary!$P$2),Summary!$Q$2,IF(AND(H1095=0,C1094=Summary!$Q$2),Summary!$R$2,C1094))</f>
        <v>Jared</v>
      </c>
      <c r="D1095" t="str">
        <f>IF(C1095=Summary!$P$26,VLOOKUP(Summary!M1102,Summary!$Q$26:$R$27,2),IF('Run Data'!C1095=Summary!$P$28,VLOOKUP(Summary!M1102,Summary!$Q$28:$R$29,2),VLOOKUP(Summary!M1102,Summary!$Q$30:$R$32,2)))</f>
        <v>Sprig 2</v>
      </c>
      <c r="E1095" t="str">
        <f>VLOOKUP(Summary!M1105,Summary!$P$42:$Q$43,2)</f>
        <v>86</v>
      </c>
      <c r="F1095">
        <f>IF(LEFT(A1095,3)="B60",20,IF(LEFT(A1095,3)="B12",30,25))+B1095*0.5+INT(Summary!M1108*20)</f>
        <v>553</v>
      </c>
      <c r="G1095">
        <f>ROUND(IF(OR(ISERROR(FIND(Summary!$P$89,CONCATENATE(C1095,D1095,E1095))),ISERROR(FIND(Summary!$Q$89,A1095))),Summary!$R$45,IF(H1095&gt;Summary!$V$3,Summary!$R$46,Summary!$R$45))*(B1095+30),0)</f>
        <v>11</v>
      </c>
      <c r="H1095">
        <f>IF(H1094&gt;Summary!$V$4,0,H1094+F1094)</f>
        <v>24046</v>
      </c>
      <c r="I1095" s="26">
        <f>DATE(YEAR(Summary!$V$2),MONTH(Summary!$V$2),DAY(Summary!$V$2)+INT(H1095/480))</f>
        <v>43640</v>
      </c>
      <c r="J1095" s="27">
        <f t="shared" si="17"/>
        <v>0.36527777777777781</v>
      </c>
    </row>
    <row r="1096" spans="1:10">
      <c r="A1096" t="str">
        <f>VLOOKUP(Summary!M1095,Summary!$P$13:$Q$24,2)</f>
        <v>B1200-plum</v>
      </c>
      <c r="B1096">
        <f>ROUND(NORMINV(Summary!M1097,VLOOKUP(A1096,Summary!$Q$13:$S$24,3,FALSE),VLOOKUP(A1096,Summary!$Q$13:$S$24,3,FALSE)/6),-1)</f>
        <v>450</v>
      </c>
      <c r="C1096" t="str">
        <f>IF(AND(H1096=0,C1095=Summary!$P$2),Summary!$Q$2,IF(AND(H1096=0,C1095=Summary!$Q$2),Summary!$R$2,C1095))</f>
        <v>Jared</v>
      </c>
      <c r="D1096" t="str">
        <f>IF(C1096=Summary!$P$26,VLOOKUP(Summary!M1103,Summary!$Q$26:$R$27,2),IF('Run Data'!C1096=Summary!$P$28,VLOOKUP(Summary!M1103,Summary!$Q$28:$R$29,2),VLOOKUP(Summary!M1103,Summary!$Q$30:$R$32,2)))</f>
        <v>Sprig 2</v>
      </c>
      <c r="E1096" t="str">
        <f>VLOOKUP(Summary!M1106,Summary!$P$42:$Q$43,2)</f>
        <v>87b</v>
      </c>
      <c r="F1096">
        <f>IF(LEFT(A1096,3)="B60",20,IF(LEFT(A1096,3)="B12",30,25))+B1096*0.5+INT(Summary!M1109*20)</f>
        <v>258</v>
      </c>
      <c r="G1096">
        <f>ROUND(IF(OR(ISERROR(FIND(Summary!$P$89,CONCATENATE(C1096,D1096,E1096))),ISERROR(FIND(Summary!$Q$89,A1096))),Summary!$R$45,IF(H1096&gt;Summary!$V$3,Summary!$R$46,Summary!$R$45))*(B1096+30),0)</f>
        <v>5</v>
      </c>
      <c r="H1096">
        <f>IF(H1095&gt;Summary!$V$4,0,H1095+F1095)</f>
        <v>24599</v>
      </c>
      <c r="I1096" s="26">
        <f>DATE(YEAR(Summary!$V$2),MONTH(Summary!$V$2),DAY(Summary!$V$2)+INT(H1096/480))</f>
        <v>43641</v>
      </c>
      <c r="J1096" s="27">
        <f t="shared" si="17"/>
        <v>0.41597222222222219</v>
      </c>
    </row>
    <row r="1097" spans="1:10">
      <c r="A1097" t="str">
        <f>VLOOKUP(Summary!M1096,Summary!$P$13:$Q$24,2)</f>
        <v>B600-lime</v>
      </c>
      <c r="B1097">
        <f>ROUND(NORMINV(Summary!M1098,VLOOKUP(A1097,Summary!$Q$13:$S$24,3,FALSE),VLOOKUP(A1097,Summary!$Q$13:$S$24,3,FALSE)/6),-1)</f>
        <v>330</v>
      </c>
      <c r="C1097" t="str">
        <f>IF(AND(H1097=0,C1096=Summary!$P$2),Summary!$Q$2,IF(AND(H1097=0,C1096=Summary!$Q$2),Summary!$R$2,C1096))</f>
        <v>Jared</v>
      </c>
      <c r="D1097" t="str">
        <f>IF(C1097=Summary!$P$26,VLOOKUP(Summary!M1104,Summary!$Q$26:$R$27,2),IF('Run Data'!C1097=Summary!$P$28,VLOOKUP(Summary!M1104,Summary!$Q$28:$R$29,2),VLOOKUP(Summary!M1104,Summary!$Q$30:$R$32,2)))</f>
        <v>Sprig 3</v>
      </c>
      <c r="E1097" t="str">
        <f>VLOOKUP(Summary!M1107,Summary!$P$42:$Q$43,2)</f>
        <v>87b</v>
      </c>
      <c r="F1097">
        <f>IF(LEFT(A1097,3)="B60",20,IF(LEFT(A1097,3)="B12",30,25))+B1097*0.5+INT(Summary!M1110*20)</f>
        <v>193</v>
      </c>
      <c r="G1097">
        <f>ROUND(IF(OR(ISERROR(FIND(Summary!$P$89,CONCATENATE(C1097,D1097,E1097))),ISERROR(FIND(Summary!$Q$89,A1097))),Summary!$R$45,IF(H1097&gt;Summary!$V$3,Summary!$R$46,Summary!$R$45))*(B1097+30),0)</f>
        <v>4</v>
      </c>
      <c r="H1097">
        <f>IF(H1096&gt;Summary!$V$4,0,H1096+F1096)</f>
        <v>24857</v>
      </c>
      <c r="I1097" s="26">
        <f>DATE(YEAR(Summary!$V$2),MONTH(Summary!$V$2),DAY(Summary!$V$2)+INT(H1097/480))</f>
        <v>43641</v>
      </c>
      <c r="J1097" s="27">
        <f t="shared" si="17"/>
        <v>0.59513888888888888</v>
      </c>
    </row>
    <row r="1098" spans="1:10">
      <c r="A1098" t="str">
        <f>VLOOKUP(Summary!M1097,Summary!$P$13:$Q$24,2)</f>
        <v>B1200-fire</v>
      </c>
      <c r="B1098">
        <f>ROUND(NORMINV(Summary!M1099,VLOOKUP(A1098,Summary!$Q$13:$S$24,3,FALSE),VLOOKUP(A1098,Summary!$Q$13:$S$24,3,FALSE)/6),-1)</f>
        <v>1350</v>
      </c>
      <c r="C1098" t="str">
        <f>IF(AND(H1098=0,C1097=Summary!$P$2),Summary!$Q$2,IF(AND(H1098=0,C1097=Summary!$Q$2),Summary!$R$2,C1097))</f>
        <v>Jared</v>
      </c>
      <c r="D1098" t="str">
        <f>IF(C1098=Summary!$P$26,VLOOKUP(Summary!M1105,Summary!$Q$26:$R$27,2),IF('Run Data'!C1098=Summary!$P$28,VLOOKUP(Summary!M1105,Summary!$Q$28:$R$29,2),VLOOKUP(Summary!M1105,Summary!$Q$30:$R$32,2)))</f>
        <v>Sprig 2</v>
      </c>
      <c r="E1098" t="str">
        <f>VLOOKUP(Summary!M1108,Summary!$P$42:$Q$43,2)</f>
        <v>86</v>
      </c>
      <c r="F1098">
        <f>IF(LEFT(A1098,3)="B60",20,IF(LEFT(A1098,3)="B12",30,25))+B1098*0.5+INT(Summary!M1111*20)</f>
        <v>719</v>
      </c>
      <c r="G1098">
        <f>ROUND(IF(OR(ISERROR(FIND(Summary!$P$89,CONCATENATE(C1098,D1098,E1098))),ISERROR(FIND(Summary!$Q$89,A1098))),Summary!$R$45,IF(H1098&gt;Summary!$V$3,Summary!$R$46,Summary!$R$45))*(B1098+30),0)</f>
        <v>14</v>
      </c>
      <c r="H1098">
        <f>IF(H1097&gt;Summary!$V$4,0,H1097+F1097)</f>
        <v>25050</v>
      </c>
      <c r="I1098" s="26">
        <f>DATE(YEAR(Summary!$V$2),MONTH(Summary!$V$2),DAY(Summary!$V$2)+INT(H1098/480))</f>
        <v>43642</v>
      </c>
      <c r="J1098" s="27">
        <f t="shared" si="17"/>
        <v>0.39583333333333331</v>
      </c>
    </row>
    <row r="1099" spans="1:10">
      <c r="A1099" t="str">
        <f>VLOOKUP(Summary!M1098,Summary!$P$13:$Q$24,2)</f>
        <v>B1700-plum</v>
      </c>
      <c r="B1099">
        <f>ROUND(NORMINV(Summary!M1100,VLOOKUP(A1099,Summary!$Q$13:$S$24,3,FALSE),VLOOKUP(A1099,Summary!$Q$13:$S$24,3,FALSE)/6),-1)</f>
        <v>310</v>
      </c>
      <c r="C1099" t="str">
        <f>IF(AND(H1099=0,C1098=Summary!$P$2),Summary!$Q$2,IF(AND(H1099=0,C1098=Summary!$Q$2),Summary!$R$2,C1098))</f>
        <v>Jared</v>
      </c>
      <c r="D1099" t="str">
        <f>IF(C1099=Summary!$P$26,VLOOKUP(Summary!M1106,Summary!$Q$26:$R$27,2),IF('Run Data'!C1099=Summary!$P$28,VLOOKUP(Summary!M1106,Summary!$Q$28:$R$29,2),VLOOKUP(Summary!M1106,Summary!$Q$30:$R$32,2)))</f>
        <v>Sprig 3</v>
      </c>
      <c r="E1099" t="str">
        <f>VLOOKUP(Summary!M1109,Summary!$P$42:$Q$43,2)</f>
        <v>86</v>
      </c>
      <c r="F1099">
        <f>IF(LEFT(A1099,3)="B60",20,IF(LEFT(A1099,3)="B12",30,25))+B1099*0.5+INT(Summary!M1112*20)</f>
        <v>183</v>
      </c>
      <c r="G1099">
        <f>ROUND(IF(OR(ISERROR(FIND(Summary!$P$89,CONCATENATE(C1099,D1099,E1099))),ISERROR(FIND(Summary!$Q$89,A1099))),Summary!$R$45,IF(H1099&gt;Summary!$V$3,Summary!$R$46,Summary!$R$45))*(B1099+30),0)</f>
        <v>3</v>
      </c>
      <c r="H1099">
        <f>IF(H1098&gt;Summary!$V$4,0,H1098+F1098)</f>
        <v>25769</v>
      </c>
      <c r="I1099" s="26">
        <f>DATE(YEAR(Summary!$V$2),MONTH(Summary!$V$2),DAY(Summary!$V$2)+INT(H1099/480))</f>
        <v>43643</v>
      </c>
      <c r="J1099" s="27">
        <f t="shared" si="17"/>
        <v>0.56180555555555556</v>
      </c>
    </row>
    <row r="1100" spans="1:10">
      <c r="A1100" t="str">
        <f>VLOOKUP(Summary!M1099,Summary!$P$13:$Q$24,2)</f>
        <v>B1700-sky</v>
      </c>
      <c r="B1100">
        <f>ROUND(NORMINV(Summary!M1101,VLOOKUP(A1100,Summary!$Q$13:$S$24,3,FALSE),VLOOKUP(A1100,Summary!$Q$13:$S$24,3,FALSE)/6),-1)</f>
        <v>570</v>
      </c>
      <c r="C1100" t="str">
        <f>IF(AND(H1100=0,C1099=Summary!$P$2),Summary!$Q$2,IF(AND(H1100=0,C1099=Summary!$Q$2),Summary!$R$2,C1099))</f>
        <v>Jared</v>
      </c>
      <c r="D1100" t="str">
        <f>IF(C1100=Summary!$P$26,VLOOKUP(Summary!M1107,Summary!$Q$26:$R$27,2),IF('Run Data'!C1100=Summary!$P$28,VLOOKUP(Summary!M1107,Summary!$Q$28:$R$29,2),VLOOKUP(Summary!M1107,Summary!$Q$30:$R$32,2)))</f>
        <v>Sprig 3</v>
      </c>
      <c r="E1100" t="str">
        <f>VLOOKUP(Summary!M1110,Summary!$P$42:$Q$43,2)</f>
        <v>86</v>
      </c>
      <c r="F1100">
        <f>IF(LEFT(A1100,3)="B60",20,IF(LEFT(A1100,3)="B12",30,25))+B1100*0.5+INT(Summary!M1113*20)</f>
        <v>320</v>
      </c>
      <c r="G1100">
        <f>ROUND(IF(OR(ISERROR(FIND(Summary!$P$89,CONCATENATE(C1100,D1100,E1100))),ISERROR(FIND(Summary!$Q$89,A1100))),Summary!$R$45,IF(H1100&gt;Summary!$V$3,Summary!$R$46,Summary!$R$45))*(B1100+30),0)</f>
        <v>6</v>
      </c>
      <c r="H1100">
        <f>IF(H1099&gt;Summary!$V$4,0,H1099+F1099)</f>
        <v>25952</v>
      </c>
      <c r="I1100" s="26">
        <f>DATE(YEAR(Summary!$V$2),MONTH(Summary!$V$2),DAY(Summary!$V$2)+INT(H1100/480))</f>
        <v>43644</v>
      </c>
      <c r="J1100" s="27">
        <f t="shared" si="17"/>
        <v>0.35555555555555557</v>
      </c>
    </row>
    <row r="1101" spans="1:10">
      <c r="A1101" t="str">
        <f>VLOOKUP(Summary!M1100,Summary!$P$13:$Q$24,2)</f>
        <v>B1200-lime</v>
      </c>
      <c r="B1101">
        <f>ROUND(NORMINV(Summary!M1102,VLOOKUP(A1101,Summary!$Q$13:$S$24,3,FALSE),VLOOKUP(A1101,Summary!$Q$13:$S$24,3,FALSE)/6),-1)</f>
        <v>690</v>
      </c>
      <c r="C1101" t="str">
        <f>IF(AND(H1101=0,C1100=Summary!$P$2),Summary!$Q$2,IF(AND(H1101=0,C1100=Summary!$Q$2),Summary!$R$2,C1100))</f>
        <v>Jared</v>
      </c>
      <c r="D1101" t="str">
        <f>IF(C1101=Summary!$P$26,VLOOKUP(Summary!M1108,Summary!$Q$26:$R$27,2),IF('Run Data'!C1101=Summary!$P$28,VLOOKUP(Summary!M1108,Summary!$Q$28:$R$29,2),VLOOKUP(Summary!M1108,Summary!$Q$30:$R$32,2)))</f>
        <v>Sprig 1</v>
      </c>
      <c r="E1101" t="str">
        <f>VLOOKUP(Summary!M1111,Summary!$P$42:$Q$43,2)</f>
        <v>86</v>
      </c>
      <c r="F1101">
        <f>IF(LEFT(A1101,3)="B60",20,IF(LEFT(A1101,3)="B12",30,25))+B1101*0.5+INT(Summary!M1114*20)</f>
        <v>376</v>
      </c>
      <c r="G1101">
        <f>ROUND(IF(OR(ISERROR(FIND(Summary!$P$89,CONCATENATE(C1101,D1101,E1101))),ISERROR(FIND(Summary!$Q$89,A1101))),Summary!$R$45,IF(H1101&gt;Summary!$V$3,Summary!$R$46,Summary!$R$45))*(B1101+30),0)</f>
        <v>7</v>
      </c>
      <c r="H1101">
        <f>IF(H1100&gt;Summary!$V$4,0,H1100+F1100)</f>
        <v>26272</v>
      </c>
      <c r="I1101" s="26">
        <f>DATE(YEAR(Summary!$V$2),MONTH(Summary!$V$2),DAY(Summary!$V$2)+INT(H1101/480))</f>
        <v>43644</v>
      </c>
      <c r="J1101" s="27">
        <f t="shared" si="17"/>
        <v>0.57777777777777783</v>
      </c>
    </row>
    <row r="1102" spans="1:10">
      <c r="A1102" t="str">
        <f>VLOOKUP(Summary!M1101,Summary!$P$13:$Q$24,2)</f>
        <v>B1200-lime</v>
      </c>
      <c r="B1102">
        <f>ROUND(NORMINV(Summary!M1103,VLOOKUP(A1102,Summary!$Q$13:$S$24,3,FALSE),VLOOKUP(A1102,Summary!$Q$13:$S$24,3,FALSE)/6),-1)</f>
        <v>780</v>
      </c>
      <c r="C1102" t="str">
        <f>IF(AND(H1102=0,C1101=Summary!$P$2),Summary!$Q$2,IF(AND(H1102=0,C1101=Summary!$Q$2),Summary!$R$2,C1101))</f>
        <v>Jared</v>
      </c>
      <c r="D1102" t="str">
        <f>IF(C1102=Summary!$P$26,VLOOKUP(Summary!M1109,Summary!$Q$26:$R$27,2),IF('Run Data'!C1102=Summary!$P$28,VLOOKUP(Summary!M1109,Summary!$Q$28:$R$29,2),VLOOKUP(Summary!M1109,Summary!$Q$30:$R$32,2)))</f>
        <v>Sprig 1</v>
      </c>
      <c r="E1102" t="str">
        <f>VLOOKUP(Summary!M1112,Summary!$P$42:$Q$43,2)</f>
        <v>86</v>
      </c>
      <c r="F1102">
        <f>IF(LEFT(A1102,3)="B60",20,IF(LEFT(A1102,3)="B12",30,25))+B1102*0.5+INT(Summary!M1115*20)</f>
        <v>434</v>
      </c>
      <c r="G1102">
        <f>ROUND(IF(OR(ISERROR(FIND(Summary!$P$89,CONCATENATE(C1102,D1102,E1102))),ISERROR(FIND(Summary!$Q$89,A1102))),Summary!$R$45,IF(H1102&gt;Summary!$V$3,Summary!$R$46,Summary!$R$45))*(B1102+30),0)</f>
        <v>8</v>
      </c>
      <c r="H1102">
        <f>IF(H1101&gt;Summary!$V$4,0,H1101+F1101)</f>
        <v>26648</v>
      </c>
      <c r="I1102" s="26">
        <f>DATE(YEAR(Summary!$V$2),MONTH(Summary!$V$2),DAY(Summary!$V$2)+INT(H1102/480))</f>
        <v>43645</v>
      </c>
      <c r="J1102" s="27">
        <f t="shared" si="17"/>
        <v>0.50555555555555554</v>
      </c>
    </row>
    <row r="1103" spans="1:10">
      <c r="A1103" t="str">
        <f>VLOOKUP(Summary!M1102,Summary!$P$13:$Q$24,2)</f>
        <v>B600-lime</v>
      </c>
      <c r="B1103">
        <f>ROUND(NORMINV(Summary!M1104,VLOOKUP(A1103,Summary!$Q$13:$S$24,3,FALSE),VLOOKUP(A1103,Summary!$Q$13:$S$24,3,FALSE)/6),-1)</f>
        <v>330</v>
      </c>
      <c r="C1103" t="str">
        <f>IF(AND(H1103=0,C1102=Summary!$P$2),Summary!$Q$2,IF(AND(H1103=0,C1102=Summary!$Q$2),Summary!$R$2,C1102))</f>
        <v>Jared</v>
      </c>
      <c r="D1103" t="str">
        <f>IF(C1103=Summary!$P$26,VLOOKUP(Summary!M1110,Summary!$Q$26:$R$27,2),IF('Run Data'!C1103=Summary!$P$28,VLOOKUP(Summary!M1110,Summary!$Q$28:$R$29,2),VLOOKUP(Summary!M1110,Summary!$Q$30:$R$32,2)))</f>
        <v>Sprig 2</v>
      </c>
      <c r="E1103" t="str">
        <f>VLOOKUP(Summary!M1113,Summary!$P$42:$Q$43,2)</f>
        <v>86</v>
      </c>
      <c r="F1103">
        <f>IF(LEFT(A1103,3)="B60",20,IF(LEFT(A1103,3)="B12",30,25))+B1103*0.5+INT(Summary!M1116*20)</f>
        <v>203</v>
      </c>
      <c r="G1103">
        <f>ROUND(IF(OR(ISERROR(FIND(Summary!$P$89,CONCATENATE(C1103,D1103,E1103))),ISERROR(FIND(Summary!$Q$89,A1103))),Summary!$R$45,IF(H1103&gt;Summary!$V$3,Summary!$R$46,Summary!$R$45))*(B1103+30),0)</f>
        <v>4</v>
      </c>
      <c r="H1103">
        <f>IF(H1102&gt;Summary!$V$4,0,H1102+F1102)</f>
        <v>27082</v>
      </c>
      <c r="I1103" s="26">
        <f>DATE(YEAR(Summary!$V$2),MONTH(Summary!$V$2),DAY(Summary!$V$2)+INT(H1103/480))</f>
        <v>43646</v>
      </c>
      <c r="J1103" s="27">
        <f t="shared" si="17"/>
        <v>0.47361111111111115</v>
      </c>
    </row>
    <row r="1104" spans="1:10">
      <c r="A1104" t="str">
        <f>VLOOKUP(Summary!M1103,Summary!$P$13:$Q$24,2)</f>
        <v>B1200-sky</v>
      </c>
      <c r="B1104">
        <f>ROUND(NORMINV(Summary!M1105,VLOOKUP(A1104,Summary!$Q$13:$S$24,3,FALSE),VLOOKUP(A1104,Summary!$Q$13:$S$24,3,FALSE)/6),-1)</f>
        <v>1130</v>
      </c>
      <c r="C1104" t="str">
        <f>IF(AND(H1104=0,C1103=Summary!$P$2),Summary!$Q$2,IF(AND(H1104=0,C1103=Summary!$Q$2),Summary!$R$2,C1103))</f>
        <v>Jared</v>
      </c>
      <c r="D1104" t="str">
        <f>IF(C1104=Summary!$P$26,VLOOKUP(Summary!M1111,Summary!$Q$26:$R$27,2),IF('Run Data'!C1104=Summary!$P$28,VLOOKUP(Summary!M1111,Summary!$Q$28:$R$29,2),VLOOKUP(Summary!M1111,Summary!$Q$30:$R$32,2)))</f>
        <v>Sprig 3</v>
      </c>
      <c r="E1104" t="str">
        <f>VLOOKUP(Summary!M1114,Summary!$P$42:$Q$43,2)</f>
        <v>86</v>
      </c>
      <c r="F1104">
        <f>IF(LEFT(A1104,3)="B60",20,IF(LEFT(A1104,3)="B12",30,25))+B1104*0.5+INT(Summary!M1117*20)</f>
        <v>596</v>
      </c>
      <c r="G1104">
        <f>ROUND(IF(OR(ISERROR(FIND(Summary!$P$89,CONCATENATE(C1104,D1104,E1104))),ISERROR(FIND(Summary!$Q$89,A1104))),Summary!$R$45,IF(H1104&gt;Summary!$V$3,Summary!$R$46,Summary!$R$45))*(B1104+30),0)</f>
        <v>12</v>
      </c>
      <c r="H1104">
        <f>IF(H1103&gt;Summary!$V$4,0,H1103+F1103)</f>
        <v>27285</v>
      </c>
      <c r="I1104" s="26">
        <f>DATE(YEAR(Summary!$V$2),MONTH(Summary!$V$2),DAY(Summary!$V$2)+INT(H1104/480))</f>
        <v>43646</v>
      </c>
      <c r="J1104" s="27">
        <f t="shared" si="17"/>
        <v>0.61458333333333337</v>
      </c>
    </row>
    <row r="1105" spans="1:10">
      <c r="A1105" t="str">
        <f>VLOOKUP(Summary!M1104,Summary!$P$13:$Q$24,2)</f>
        <v>B1700-plum</v>
      </c>
      <c r="B1105">
        <f>ROUND(NORMINV(Summary!M1106,VLOOKUP(A1105,Summary!$Q$13:$S$24,3,FALSE),VLOOKUP(A1105,Summary!$Q$13:$S$24,3,FALSE)/6),-1)</f>
        <v>360</v>
      </c>
      <c r="C1105" t="str">
        <f>IF(AND(H1105=0,C1104=Summary!$P$2),Summary!$Q$2,IF(AND(H1105=0,C1104=Summary!$Q$2),Summary!$R$2,C1104))</f>
        <v>Jared</v>
      </c>
      <c r="D1105" t="str">
        <f>IF(C1105=Summary!$P$26,VLOOKUP(Summary!M1112,Summary!$Q$26:$R$27,2),IF('Run Data'!C1105=Summary!$P$28,VLOOKUP(Summary!M1112,Summary!$Q$28:$R$29,2),VLOOKUP(Summary!M1112,Summary!$Q$30:$R$32,2)))</f>
        <v>Sprig 1</v>
      </c>
      <c r="E1105" t="str">
        <f>VLOOKUP(Summary!M1115,Summary!$P$42:$Q$43,2)</f>
        <v>86</v>
      </c>
      <c r="F1105">
        <f>IF(LEFT(A1105,3)="B60",20,IF(LEFT(A1105,3)="B12",30,25))+B1105*0.5+INT(Summary!M1118*20)</f>
        <v>219</v>
      </c>
      <c r="G1105">
        <f>ROUND(IF(OR(ISERROR(FIND(Summary!$P$89,CONCATENATE(C1105,D1105,E1105))),ISERROR(FIND(Summary!$Q$89,A1105))),Summary!$R$45,IF(H1105&gt;Summary!$V$3,Summary!$R$46,Summary!$R$45))*(B1105+30),0)</f>
        <v>4</v>
      </c>
      <c r="H1105">
        <f>IF(H1104&gt;Summary!$V$4,0,H1104+F1104)</f>
        <v>27881</v>
      </c>
      <c r="I1105" s="26">
        <f>DATE(YEAR(Summary!$V$2),MONTH(Summary!$V$2),DAY(Summary!$V$2)+INT(H1105/480))</f>
        <v>43648</v>
      </c>
      <c r="J1105" s="27">
        <f t="shared" ref="J1105:J1168" si="18">TIME(INT(MOD(H1105,480)/60)+8,MOD(MOD(H1105,480),60),0)</f>
        <v>0.36180555555555555</v>
      </c>
    </row>
    <row r="1106" spans="1:10">
      <c r="A1106" t="str">
        <f>VLOOKUP(Summary!M1105,Summary!$P$13:$Q$24,2)</f>
        <v>B1200-sky</v>
      </c>
      <c r="B1106">
        <f>ROUND(NORMINV(Summary!M1107,VLOOKUP(A1106,Summary!$Q$13:$S$24,3,FALSE),VLOOKUP(A1106,Summary!$Q$13:$S$24,3,FALSE)/6),-1)</f>
        <v>1750</v>
      </c>
      <c r="C1106" t="str">
        <f>IF(AND(H1106=0,C1105=Summary!$P$2),Summary!$Q$2,IF(AND(H1106=0,C1105=Summary!$Q$2),Summary!$R$2,C1105))</f>
        <v>Jared</v>
      </c>
      <c r="D1106" t="str">
        <f>IF(C1106=Summary!$P$26,VLOOKUP(Summary!M1113,Summary!$Q$26:$R$27,2),IF('Run Data'!C1106=Summary!$P$28,VLOOKUP(Summary!M1113,Summary!$Q$28:$R$29,2),VLOOKUP(Summary!M1113,Summary!$Q$30:$R$32,2)))</f>
        <v>Sprig 2</v>
      </c>
      <c r="E1106" t="str">
        <f>VLOOKUP(Summary!M1116,Summary!$P$42:$Q$43,2)</f>
        <v>87b</v>
      </c>
      <c r="F1106">
        <f>IF(LEFT(A1106,3)="B60",20,IF(LEFT(A1106,3)="B12",30,25))+B1106*0.5+INT(Summary!M1119*20)</f>
        <v>924</v>
      </c>
      <c r="G1106">
        <f>ROUND(IF(OR(ISERROR(FIND(Summary!$P$89,CONCATENATE(C1106,D1106,E1106))),ISERROR(FIND(Summary!$Q$89,A1106))),Summary!$R$45,IF(H1106&gt;Summary!$V$3,Summary!$R$46,Summary!$R$45))*(B1106+30),0)</f>
        <v>18</v>
      </c>
      <c r="H1106">
        <f>IF(H1105&gt;Summary!$V$4,0,H1105+F1105)</f>
        <v>28100</v>
      </c>
      <c r="I1106" s="26">
        <f>DATE(YEAR(Summary!$V$2),MONTH(Summary!$V$2),DAY(Summary!$V$2)+INT(H1106/480))</f>
        <v>43648</v>
      </c>
      <c r="J1106" s="27">
        <f t="shared" si="18"/>
        <v>0.51388888888888895</v>
      </c>
    </row>
    <row r="1107" spans="1:10">
      <c r="A1107" t="str">
        <f>VLOOKUP(Summary!M1106,Summary!$P$13:$Q$24,2)</f>
        <v>B1700-fire</v>
      </c>
      <c r="B1107">
        <f>ROUND(NORMINV(Summary!M1108,VLOOKUP(A1107,Summary!$Q$13:$S$24,3,FALSE),VLOOKUP(A1107,Summary!$Q$13:$S$24,3,FALSE)/6),-1)</f>
        <v>640</v>
      </c>
      <c r="C1107" t="str">
        <f>IF(AND(H1107=0,C1106=Summary!$P$2),Summary!$Q$2,IF(AND(H1107=0,C1106=Summary!$Q$2),Summary!$R$2,C1106))</f>
        <v>Jared</v>
      </c>
      <c r="D1107" t="str">
        <f>IF(C1107=Summary!$P$26,VLOOKUP(Summary!M1114,Summary!$Q$26:$R$27,2),IF('Run Data'!C1107=Summary!$P$28,VLOOKUP(Summary!M1114,Summary!$Q$28:$R$29,2),VLOOKUP(Summary!M1114,Summary!$Q$30:$R$32,2)))</f>
        <v>Sprig 1</v>
      </c>
      <c r="E1107" t="str">
        <f>VLOOKUP(Summary!M1117,Summary!$P$42:$Q$43,2)</f>
        <v>86</v>
      </c>
      <c r="F1107">
        <f>IF(LEFT(A1107,3)="B60",20,IF(LEFT(A1107,3)="B12",30,25))+B1107*0.5+INT(Summary!M1120*20)</f>
        <v>359</v>
      </c>
      <c r="G1107">
        <f>ROUND(IF(OR(ISERROR(FIND(Summary!$P$89,CONCATENATE(C1107,D1107,E1107))),ISERROR(FIND(Summary!$Q$89,A1107))),Summary!$R$45,IF(H1107&gt;Summary!$V$3,Summary!$R$46,Summary!$R$45))*(B1107+30),0)</f>
        <v>7</v>
      </c>
      <c r="H1107">
        <f>IF(H1106&gt;Summary!$V$4,0,H1106+F1106)</f>
        <v>29024</v>
      </c>
      <c r="I1107" s="26">
        <f>DATE(YEAR(Summary!$V$2),MONTH(Summary!$V$2),DAY(Summary!$V$2)+INT(H1107/480))</f>
        <v>43650</v>
      </c>
      <c r="J1107" s="27">
        <f t="shared" si="18"/>
        <v>0.48888888888888887</v>
      </c>
    </row>
    <row r="1108" spans="1:10">
      <c r="A1108" t="str">
        <f>VLOOKUP(Summary!M1107,Summary!$P$13:$Q$24,2)</f>
        <v>B1700-lime</v>
      </c>
      <c r="B1108">
        <f>ROUND(NORMINV(Summary!M1109,VLOOKUP(A1108,Summary!$Q$13:$S$24,3,FALSE),VLOOKUP(A1108,Summary!$Q$13:$S$24,3,FALSE)/6),-1)</f>
        <v>340</v>
      </c>
      <c r="C1108" t="str">
        <f>IF(AND(H1108=0,C1107=Summary!$P$2),Summary!$Q$2,IF(AND(H1108=0,C1107=Summary!$Q$2),Summary!$R$2,C1107))</f>
        <v>Jared</v>
      </c>
      <c r="D1108" t="str">
        <f>IF(C1108=Summary!$P$26,VLOOKUP(Summary!M1115,Summary!$Q$26:$R$27,2),IF('Run Data'!C1108=Summary!$P$28,VLOOKUP(Summary!M1115,Summary!$Q$28:$R$29,2),VLOOKUP(Summary!M1115,Summary!$Q$30:$R$32,2)))</f>
        <v>Sprig 3</v>
      </c>
      <c r="E1108" t="str">
        <f>VLOOKUP(Summary!M1118,Summary!$P$42:$Q$43,2)</f>
        <v>86</v>
      </c>
      <c r="F1108">
        <f>IF(LEFT(A1108,3)="B60",20,IF(LEFT(A1108,3)="B12",30,25))+B1108*0.5+INT(Summary!M1121*20)</f>
        <v>214</v>
      </c>
      <c r="G1108">
        <f>ROUND(IF(OR(ISERROR(FIND(Summary!$P$89,CONCATENATE(C1108,D1108,E1108))),ISERROR(FIND(Summary!$Q$89,A1108))),Summary!$R$45,IF(H1108&gt;Summary!$V$3,Summary!$R$46,Summary!$R$45))*(B1108+30),0)</f>
        <v>4</v>
      </c>
      <c r="H1108">
        <f>IF(H1107&gt;Summary!$V$4,0,H1107+F1107)</f>
        <v>29383</v>
      </c>
      <c r="I1108" s="26">
        <f>DATE(YEAR(Summary!$V$2),MONTH(Summary!$V$2),DAY(Summary!$V$2)+INT(H1108/480))</f>
        <v>43651</v>
      </c>
      <c r="J1108" s="27">
        <f t="shared" si="18"/>
        <v>0.40486111111111112</v>
      </c>
    </row>
    <row r="1109" spans="1:10">
      <c r="A1109" t="str">
        <f>VLOOKUP(Summary!M1108,Summary!$P$13:$Q$24,2)</f>
        <v>B600-lime</v>
      </c>
      <c r="B1109">
        <f>ROUND(NORMINV(Summary!M1110,VLOOKUP(A1109,Summary!$Q$13:$S$24,3,FALSE),VLOOKUP(A1109,Summary!$Q$13:$S$24,3,FALSE)/6),-1)</f>
        <v>290</v>
      </c>
      <c r="C1109" t="str">
        <f>IF(AND(H1109=0,C1108=Summary!$P$2),Summary!$Q$2,IF(AND(H1109=0,C1108=Summary!$Q$2),Summary!$R$2,C1108))</f>
        <v>Jared</v>
      </c>
      <c r="D1109" t="str">
        <f>IF(C1109=Summary!$P$26,VLOOKUP(Summary!M1116,Summary!$Q$26:$R$27,2),IF('Run Data'!C1109=Summary!$P$28,VLOOKUP(Summary!M1116,Summary!$Q$28:$R$29,2),VLOOKUP(Summary!M1116,Summary!$Q$30:$R$32,2)))</f>
        <v>Sprig 3</v>
      </c>
      <c r="E1109" t="str">
        <f>VLOOKUP(Summary!M1119,Summary!$P$42:$Q$43,2)</f>
        <v>87b</v>
      </c>
      <c r="F1109">
        <f>IF(LEFT(A1109,3)="B60",20,IF(LEFT(A1109,3)="B12",30,25))+B1109*0.5+INT(Summary!M1122*20)</f>
        <v>178</v>
      </c>
      <c r="G1109">
        <f>ROUND(IF(OR(ISERROR(FIND(Summary!$P$89,CONCATENATE(C1109,D1109,E1109))),ISERROR(FIND(Summary!$Q$89,A1109))),Summary!$R$45,IF(H1109&gt;Summary!$V$3,Summary!$R$46,Summary!$R$45))*(B1109+30),0)</f>
        <v>3</v>
      </c>
      <c r="H1109">
        <f>IF(H1108&gt;Summary!$V$4,0,H1108+F1108)</f>
        <v>29597</v>
      </c>
      <c r="I1109" s="26">
        <f>DATE(YEAR(Summary!$V$2),MONTH(Summary!$V$2),DAY(Summary!$V$2)+INT(H1109/480))</f>
        <v>43651</v>
      </c>
      <c r="J1109" s="27">
        <f t="shared" si="18"/>
        <v>0.55347222222222225</v>
      </c>
    </row>
    <row r="1110" spans="1:10">
      <c r="A1110" t="str">
        <f>VLOOKUP(Summary!M1109,Summary!$P$13:$Q$24,2)</f>
        <v>B600-lime</v>
      </c>
      <c r="B1110">
        <f>ROUND(NORMINV(Summary!M1111,VLOOKUP(A1110,Summary!$Q$13:$S$24,3,FALSE),VLOOKUP(A1110,Summary!$Q$13:$S$24,3,FALSE)/6),-1)</f>
        <v>330</v>
      </c>
      <c r="C1110" t="str">
        <f>IF(AND(H1110=0,C1109=Summary!$P$2),Summary!$Q$2,IF(AND(H1110=0,C1109=Summary!$Q$2),Summary!$R$2,C1109))</f>
        <v>Jared</v>
      </c>
      <c r="D1110" t="str">
        <f>IF(C1110=Summary!$P$26,VLOOKUP(Summary!M1117,Summary!$Q$26:$R$27,2),IF('Run Data'!C1110=Summary!$P$28,VLOOKUP(Summary!M1117,Summary!$Q$28:$R$29,2),VLOOKUP(Summary!M1117,Summary!$Q$30:$R$32,2)))</f>
        <v>Sprig 1</v>
      </c>
      <c r="E1110" t="str">
        <f>VLOOKUP(Summary!M1120,Summary!$P$42:$Q$43,2)</f>
        <v>86</v>
      </c>
      <c r="F1110">
        <f>IF(LEFT(A1110,3)="B60",20,IF(LEFT(A1110,3)="B12",30,25))+B1110*0.5+INT(Summary!M1123*20)</f>
        <v>203</v>
      </c>
      <c r="G1110">
        <f>ROUND(IF(OR(ISERROR(FIND(Summary!$P$89,CONCATENATE(C1110,D1110,E1110))),ISERROR(FIND(Summary!$Q$89,A1110))),Summary!$R$45,IF(H1110&gt;Summary!$V$3,Summary!$R$46,Summary!$R$45))*(B1110+30),0)</f>
        <v>4</v>
      </c>
      <c r="H1110">
        <f>IF(H1109&gt;Summary!$V$4,0,H1109+F1109)</f>
        <v>29775</v>
      </c>
      <c r="I1110" s="26">
        <f>DATE(YEAR(Summary!$V$2),MONTH(Summary!$V$2),DAY(Summary!$V$2)+INT(H1110/480))</f>
        <v>43652</v>
      </c>
      <c r="J1110" s="27">
        <f t="shared" si="18"/>
        <v>0.34375</v>
      </c>
    </row>
    <row r="1111" spans="1:10">
      <c r="A1111" t="str">
        <f>VLOOKUP(Summary!M1110,Summary!$P$13:$Q$24,2)</f>
        <v>B1200-sky</v>
      </c>
      <c r="B1111">
        <f>ROUND(NORMINV(Summary!M1112,VLOOKUP(A1111,Summary!$Q$13:$S$24,3,FALSE),VLOOKUP(A1111,Summary!$Q$13:$S$24,3,FALSE)/6),-1)</f>
        <v>1010</v>
      </c>
      <c r="C1111" t="str">
        <f>IF(AND(H1111=0,C1110=Summary!$P$2),Summary!$Q$2,IF(AND(H1111=0,C1110=Summary!$Q$2),Summary!$R$2,C1110))</f>
        <v>Jared</v>
      </c>
      <c r="D1111" t="str">
        <f>IF(C1111=Summary!$P$26,VLOOKUP(Summary!M1118,Summary!$Q$26:$R$27,2),IF('Run Data'!C1111=Summary!$P$28,VLOOKUP(Summary!M1118,Summary!$Q$28:$R$29,2),VLOOKUP(Summary!M1118,Summary!$Q$30:$R$32,2)))</f>
        <v>Sprig 3</v>
      </c>
      <c r="E1111" t="str">
        <f>VLOOKUP(Summary!M1121,Summary!$P$42:$Q$43,2)</f>
        <v>87b</v>
      </c>
      <c r="F1111">
        <f>IF(LEFT(A1111,3)="B60",20,IF(LEFT(A1111,3)="B12",30,25))+B1111*0.5+INT(Summary!M1124*20)</f>
        <v>546</v>
      </c>
      <c r="G1111">
        <f>ROUND(IF(OR(ISERROR(FIND(Summary!$P$89,CONCATENATE(C1111,D1111,E1111))),ISERROR(FIND(Summary!$Q$89,A1111))),Summary!$R$45,IF(H1111&gt;Summary!$V$3,Summary!$R$46,Summary!$R$45))*(B1111+30),0)</f>
        <v>10</v>
      </c>
      <c r="H1111">
        <f>IF(H1110&gt;Summary!$V$4,0,H1110+F1110)</f>
        <v>29978</v>
      </c>
      <c r="I1111" s="26">
        <f>DATE(YEAR(Summary!$V$2),MONTH(Summary!$V$2),DAY(Summary!$V$2)+INT(H1111/480))</f>
        <v>43652</v>
      </c>
      <c r="J1111" s="27">
        <f t="shared" si="18"/>
        <v>0.48472222222222222</v>
      </c>
    </row>
    <row r="1112" spans="1:10">
      <c r="A1112" t="str">
        <f>VLOOKUP(Summary!M1111,Summary!$P$13:$Q$24,2)</f>
        <v>B1700-plum</v>
      </c>
      <c r="B1112">
        <f>ROUND(NORMINV(Summary!M1113,VLOOKUP(A1112,Summary!$Q$13:$S$24,3,FALSE),VLOOKUP(A1112,Summary!$Q$13:$S$24,3,FALSE)/6),-1)</f>
        <v>310</v>
      </c>
      <c r="C1112" t="str">
        <f>IF(AND(H1112=0,C1111=Summary!$P$2),Summary!$Q$2,IF(AND(H1112=0,C1111=Summary!$Q$2),Summary!$R$2,C1111))</f>
        <v>Jared</v>
      </c>
      <c r="D1112" t="str">
        <f>IF(C1112=Summary!$P$26,VLOOKUP(Summary!M1119,Summary!$Q$26:$R$27,2),IF('Run Data'!C1112=Summary!$P$28,VLOOKUP(Summary!M1119,Summary!$Q$28:$R$29,2),VLOOKUP(Summary!M1119,Summary!$Q$30:$R$32,2)))</f>
        <v>Sprig 3</v>
      </c>
      <c r="E1112" t="str">
        <f>VLOOKUP(Summary!M1122,Summary!$P$42:$Q$43,2)</f>
        <v>86</v>
      </c>
      <c r="F1112">
        <f>IF(LEFT(A1112,3)="B60",20,IF(LEFT(A1112,3)="B12",30,25))+B1112*0.5+INT(Summary!M1125*20)</f>
        <v>185</v>
      </c>
      <c r="G1112">
        <f>ROUND(IF(OR(ISERROR(FIND(Summary!$P$89,CONCATENATE(C1112,D1112,E1112))),ISERROR(FIND(Summary!$Q$89,A1112))),Summary!$R$45,IF(H1112&gt;Summary!$V$3,Summary!$R$46,Summary!$R$45))*(B1112+30),0)</f>
        <v>3</v>
      </c>
      <c r="H1112">
        <f>IF(H1111&gt;Summary!$V$4,0,H1111+F1111)</f>
        <v>30524</v>
      </c>
      <c r="I1112" s="26">
        <f>DATE(YEAR(Summary!$V$2),MONTH(Summary!$V$2),DAY(Summary!$V$2)+INT(H1112/480))</f>
        <v>43653</v>
      </c>
      <c r="J1112" s="27">
        <f t="shared" si="18"/>
        <v>0.53055555555555556</v>
      </c>
    </row>
    <row r="1113" spans="1:10">
      <c r="A1113" t="str">
        <f>VLOOKUP(Summary!M1112,Summary!$P$13:$Q$24,2)</f>
        <v>B600-lime</v>
      </c>
      <c r="B1113">
        <f>ROUND(NORMINV(Summary!M1114,VLOOKUP(A1113,Summary!$Q$13:$S$24,3,FALSE),VLOOKUP(A1113,Summary!$Q$13:$S$24,3,FALSE)/6),-1)</f>
        <v>220</v>
      </c>
      <c r="C1113" t="str">
        <f>IF(AND(H1113=0,C1112=Summary!$P$2),Summary!$Q$2,IF(AND(H1113=0,C1112=Summary!$Q$2),Summary!$R$2,C1112))</f>
        <v>Jared</v>
      </c>
      <c r="D1113" t="str">
        <f>IF(C1113=Summary!$P$26,VLOOKUP(Summary!M1120,Summary!$Q$26:$R$27,2),IF('Run Data'!C1113=Summary!$P$28,VLOOKUP(Summary!M1120,Summary!$Q$28:$R$29,2),VLOOKUP(Summary!M1120,Summary!$Q$30:$R$32,2)))</f>
        <v>Sprig 3</v>
      </c>
      <c r="E1113" t="str">
        <f>VLOOKUP(Summary!M1123,Summary!$P$42:$Q$43,2)</f>
        <v>87b</v>
      </c>
      <c r="F1113">
        <f>IF(LEFT(A1113,3)="B60",20,IF(LEFT(A1113,3)="B12",30,25))+B1113*0.5+INT(Summary!M1126*20)</f>
        <v>145</v>
      </c>
      <c r="G1113">
        <f>ROUND(IF(OR(ISERROR(FIND(Summary!$P$89,CONCATENATE(C1113,D1113,E1113))),ISERROR(FIND(Summary!$Q$89,A1113))),Summary!$R$45,IF(H1113&gt;Summary!$V$3,Summary!$R$46,Summary!$R$45))*(B1113+30),0)</f>
        <v>3</v>
      </c>
      <c r="H1113">
        <f>IF(H1112&gt;Summary!$V$4,0,H1112+F1112)</f>
        <v>30709</v>
      </c>
      <c r="I1113" s="26">
        <f>DATE(YEAR(Summary!$V$2),MONTH(Summary!$V$2),DAY(Summary!$V$2)+INT(H1113/480))</f>
        <v>43653</v>
      </c>
      <c r="J1113" s="27">
        <f t="shared" si="18"/>
        <v>0.65902777777777777</v>
      </c>
    </row>
    <row r="1114" spans="1:10">
      <c r="A1114" t="str">
        <f>VLOOKUP(Summary!M1113,Summary!$P$13:$Q$24,2)</f>
        <v>B1200-fire</v>
      </c>
      <c r="B1114">
        <f>ROUND(NORMINV(Summary!M1115,VLOOKUP(A1114,Summary!$Q$13:$S$24,3,FALSE),VLOOKUP(A1114,Summary!$Q$13:$S$24,3,FALSE)/6),-1)</f>
        <v>1320</v>
      </c>
      <c r="C1114" t="str">
        <f>IF(AND(H1114=0,C1113=Summary!$P$2),Summary!$Q$2,IF(AND(H1114=0,C1113=Summary!$Q$2),Summary!$R$2,C1113))</f>
        <v>Jared</v>
      </c>
      <c r="D1114" t="str">
        <f>IF(C1114=Summary!$P$26,VLOOKUP(Summary!M1121,Summary!$Q$26:$R$27,2),IF('Run Data'!C1114=Summary!$P$28,VLOOKUP(Summary!M1121,Summary!$Q$28:$R$29,2),VLOOKUP(Summary!M1121,Summary!$Q$30:$R$32,2)))</f>
        <v>Sprig 3</v>
      </c>
      <c r="E1114" t="str">
        <f>VLOOKUP(Summary!M1124,Summary!$P$42:$Q$43,2)</f>
        <v>86</v>
      </c>
      <c r="F1114">
        <f>IF(LEFT(A1114,3)="B60",20,IF(LEFT(A1114,3)="B12",30,25))+B1114*0.5+INT(Summary!M1127*20)</f>
        <v>693</v>
      </c>
      <c r="G1114">
        <f>ROUND(IF(OR(ISERROR(FIND(Summary!$P$89,CONCATENATE(C1114,D1114,E1114))),ISERROR(FIND(Summary!$Q$89,A1114))),Summary!$R$45,IF(H1114&gt;Summary!$V$3,Summary!$R$46,Summary!$R$45))*(B1114+30),0)</f>
        <v>14</v>
      </c>
      <c r="H1114">
        <f>IF(H1113&gt;Summary!$V$4,0,H1113+F1113)</f>
        <v>30854</v>
      </c>
      <c r="I1114" s="26">
        <f>DATE(YEAR(Summary!$V$2),MONTH(Summary!$V$2),DAY(Summary!$V$2)+INT(H1114/480))</f>
        <v>43654</v>
      </c>
      <c r="J1114" s="27">
        <f t="shared" si="18"/>
        <v>0.42638888888888887</v>
      </c>
    </row>
    <row r="1115" spans="1:10">
      <c r="A1115" t="str">
        <f>VLOOKUP(Summary!M1114,Summary!$P$13:$Q$24,2)</f>
        <v>B600-sky</v>
      </c>
      <c r="B1115">
        <f>ROUND(NORMINV(Summary!M1116,VLOOKUP(A1115,Summary!$Q$13:$S$24,3,FALSE),VLOOKUP(A1115,Summary!$Q$13:$S$24,3,FALSE)/6),-1)</f>
        <v>610</v>
      </c>
      <c r="C1115" t="str">
        <f>IF(AND(H1115=0,C1114=Summary!$P$2),Summary!$Q$2,IF(AND(H1115=0,C1114=Summary!$Q$2),Summary!$R$2,C1114))</f>
        <v>Jared</v>
      </c>
      <c r="D1115" t="str">
        <f>IF(C1115=Summary!$P$26,VLOOKUP(Summary!M1122,Summary!$Q$26:$R$27,2),IF('Run Data'!C1115=Summary!$P$28,VLOOKUP(Summary!M1122,Summary!$Q$28:$R$29,2),VLOOKUP(Summary!M1122,Summary!$Q$30:$R$32,2)))</f>
        <v>Sprig 3</v>
      </c>
      <c r="E1115" t="str">
        <f>VLOOKUP(Summary!M1125,Summary!$P$42:$Q$43,2)</f>
        <v>86</v>
      </c>
      <c r="F1115">
        <f>IF(LEFT(A1115,3)="B60",20,IF(LEFT(A1115,3)="B12",30,25))+B1115*0.5+INT(Summary!M1128*20)</f>
        <v>336</v>
      </c>
      <c r="G1115">
        <f>ROUND(IF(OR(ISERROR(FIND(Summary!$P$89,CONCATENATE(C1115,D1115,E1115))),ISERROR(FIND(Summary!$Q$89,A1115))),Summary!$R$45,IF(H1115&gt;Summary!$V$3,Summary!$R$46,Summary!$R$45))*(B1115+30),0)</f>
        <v>6</v>
      </c>
      <c r="H1115">
        <f>IF(H1114&gt;Summary!$V$4,0,H1114+F1114)</f>
        <v>31547</v>
      </c>
      <c r="I1115" s="26">
        <f>DATE(YEAR(Summary!$V$2),MONTH(Summary!$V$2),DAY(Summary!$V$2)+INT(H1115/480))</f>
        <v>43655</v>
      </c>
      <c r="J1115" s="27">
        <f t="shared" si="18"/>
        <v>0.57430555555555551</v>
      </c>
    </row>
    <row r="1116" spans="1:10">
      <c r="A1116" t="str">
        <f>VLOOKUP(Summary!M1115,Summary!$P$13:$Q$24,2)</f>
        <v>B1700-plum</v>
      </c>
      <c r="B1116">
        <f>ROUND(NORMINV(Summary!M1117,VLOOKUP(A1116,Summary!$Q$13:$S$24,3,FALSE),VLOOKUP(A1116,Summary!$Q$13:$S$24,3,FALSE)/6),-1)</f>
        <v>220</v>
      </c>
      <c r="C1116" t="str">
        <f>IF(AND(H1116=0,C1115=Summary!$P$2),Summary!$Q$2,IF(AND(H1116=0,C1115=Summary!$Q$2),Summary!$R$2,C1115))</f>
        <v>Jared</v>
      </c>
      <c r="D1116" t="str">
        <f>IF(C1116=Summary!$P$26,VLOOKUP(Summary!M1123,Summary!$Q$26:$R$27,2),IF('Run Data'!C1116=Summary!$P$28,VLOOKUP(Summary!M1123,Summary!$Q$28:$R$29,2),VLOOKUP(Summary!M1123,Summary!$Q$30:$R$32,2)))</f>
        <v>Sprig 3</v>
      </c>
      <c r="E1116" t="str">
        <f>VLOOKUP(Summary!M1126,Summary!$P$42:$Q$43,2)</f>
        <v>86</v>
      </c>
      <c r="F1116">
        <f>IF(LEFT(A1116,3)="B60",20,IF(LEFT(A1116,3)="B12",30,25))+B1116*0.5+INT(Summary!M1129*20)</f>
        <v>141</v>
      </c>
      <c r="G1116">
        <f>ROUND(IF(OR(ISERROR(FIND(Summary!$P$89,CONCATENATE(C1116,D1116,E1116))),ISERROR(FIND(Summary!$Q$89,A1116))),Summary!$R$45,IF(H1116&gt;Summary!$V$3,Summary!$R$46,Summary!$R$45))*(B1116+30),0)</f>
        <v>3</v>
      </c>
      <c r="H1116">
        <f>IF(H1115&gt;Summary!$V$4,0,H1115+F1115)</f>
        <v>31883</v>
      </c>
      <c r="I1116" s="26">
        <f>DATE(YEAR(Summary!$V$2),MONTH(Summary!$V$2),DAY(Summary!$V$2)+INT(H1116/480))</f>
        <v>43656</v>
      </c>
      <c r="J1116" s="27">
        <f t="shared" si="18"/>
        <v>0.47430555555555554</v>
      </c>
    </row>
    <row r="1117" spans="1:10">
      <c r="A1117" t="str">
        <f>VLOOKUP(Summary!M1116,Summary!$P$13:$Q$24,2)</f>
        <v>B1700-fire</v>
      </c>
      <c r="B1117">
        <f>ROUND(NORMINV(Summary!M1118,VLOOKUP(A1117,Summary!$Q$13:$S$24,3,FALSE),VLOOKUP(A1117,Summary!$Q$13:$S$24,3,FALSE)/6),-1)</f>
        <v>830</v>
      </c>
      <c r="C1117" t="str">
        <f>IF(AND(H1117=0,C1116=Summary!$P$2),Summary!$Q$2,IF(AND(H1117=0,C1116=Summary!$Q$2),Summary!$R$2,C1116))</f>
        <v>Jared</v>
      </c>
      <c r="D1117" t="str">
        <f>IF(C1117=Summary!$P$26,VLOOKUP(Summary!M1124,Summary!$Q$26:$R$27,2),IF('Run Data'!C1117=Summary!$P$28,VLOOKUP(Summary!M1124,Summary!$Q$28:$R$29,2),VLOOKUP(Summary!M1124,Summary!$Q$30:$R$32,2)))</f>
        <v>Sprig 2</v>
      </c>
      <c r="E1117" t="str">
        <f>VLOOKUP(Summary!M1127,Summary!$P$42:$Q$43,2)</f>
        <v>86</v>
      </c>
      <c r="F1117">
        <f>IF(LEFT(A1117,3)="B60",20,IF(LEFT(A1117,3)="B12",30,25))+B1117*0.5+INT(Summary!M1130*20)</f>
        <v>455</v>
      </c>
      <c r="G1117">
        <f>ROUND(IF(OR(ISERROR(FIND(Summary!$P$89,CONCATENATE(C1117,D1117,E1117))),ISERROR(FIND(Summary!$Q$89,A1117))),Summary!$R$45,IF(H1117&gt;Summary!$V$3,Summary!$R$46,Summary!$R$45))*(B1117+30),0)</f>
        <v>9</v>
      </c>
      <c r="H1117">
        <f>IF(H1116&gt;Summary!$V$4,0,H1116+F1116)</f>
        <v>32024</v>
      </c>
      <c r="I1117" s="26">
        <f>DATE(YEAR(Summary!$V$2),MONTH(Summary!$V$2),DAY(Summary!$V$2)+INT(H1117/480))</f>
        <v>43656</v>
      </c>
      <c r="J1117" s="27">
        <f t="shared" si="18"/>
        <v>0.57222222222222219</v>
      </c>
    </row>
    <row r="1118" spans="1:10">
      <c r="A1118" t="str">
        <f>VLOOKUP(Summary!M1117,Summary!$P$13:$Q$24,2)</f>
        <v>B600-sky</v>
      </c>
      <c r="B1118">
        <f>ROUND(NORMINV(Summary!M1119,VLOOKUP(A1118,Summary!$Q$13:$S$24,3,FALSE),VLOOKUP(A1118,Summary!$Q$13:$S$24,3,FALSE)/6),-1)</f>
        <v>670</v>
      </c>
      <c r="C1118" t="str">
        <f>IF(AND(H1118=0,C1117=Summary!$P$2),Summary!$Q$2,IF(AND(H1118=0,C1117=Summary!$Q$2),Summary!$R$2,C1117))</f>
        <v>Jared</v>
      </c>
      <c r="D1118" t="str">
        <f>IF(C1118=Summary!$P$26,VLOOKUP(Summary!M1125,Summary!$Q$26:$R$27,2),IF('Run Data'!C1118=Summary!$P$28,VLOOKUP(Summary!M1125,Summary!$Q$28:$R$29,2),VLOOKUP(Summary!M1125,Summary!$Q$30:$R$32,2)))</f>
        <v>Sprig 2</v>
      </c>
      <c r="E1118" t="str">
        <f>VLOOKUP(Summary!M1128,Summary!$P$42:$Q$43,2)</f>
        <v>86</v>
      </c>
      <c r="F1118">
        <f>IF(LEFT(A1118,3)="B60",20,IF(LEFT(A1118,3)="B12",30,25))+B1118*0.5+INT(Summary!M1131*20)</f>
        <v>356</v>
      </c>
      <c r="G1118">
        <f>ROUND(IF(OR(ISERROR(FIND(Summary!$P$89,CONCATENATE(C1118,D1118,E1118))),ISERROR(FIND(Summary!$Q$89,A1118))),Summary!$R$45,IF(H1118&gt;Summary!$V$3,Summary!$R$46,Summary!$R$45))*(B1118+30),0)</f>
        <v>7</v>
      </c>
      <c r="H1118">
        <f>IF(H1117&gt;Summary!$V$4,0,H1117+F1117)</f>
        <v>32479</v>
      </c>
      <c r="I1118" s="26">
        <f>DATE(YEAR(Summary!$V$2),MONTH(Summary!$V$2),DAY(Summary!$V$2)+INT(H1118/480))</f>
        <v>43657</v>
      </c>
      <c r="J1118" s="27">
        <f t="shared" si="18"/>
        <v>0.55486111111111114</v>
      </c>
    </row>
    <row r="1119" spans="1:10">
      <c r="A1119" t="str">
        <f>VLOOKUP(Summary!M1118,Summary!$P$13:$Q$24,2)</f>
        <v>B1700-plum</v>
      </c>
      <c r="B1119">
        <f>ROUND(NORMINV(Summary!M1120,VLOOKUP(A1119,Summary!$Q$13:$S$24,3,FALSE),VLOOKUP(A1119,Summary!$Q$13:$S$24,3,FALSE)/6),-1)</f>
        <v>330</v>
      </c>
      <c r="C1119" t="str">
        <f>IF(AND(H1119=0,C1118=Summary!$P$2),Summary!$Q$2,IF(AND(H1119=0,C1118=Summary!$Q$2),Summary!$R$2,C1118))</f>
        <v>Jared</v>
      </c>
      <c r="D1119" t="str">
        <f>IF(C1119=Summary!$P$26,VLOOKUP(Summary!M1126,Summary!$Q$26:$R$27,2),IF('Run Data'!C1119=Summary!$P$28,VLOOKUP(Summary!M1126,Summary!$Q$28:$R$29,2),VLOOKUP(Summary!M1126,Summary!$Q$30:$R$32,2)))</f>
        <v>Sprig 3</v>
      </c>
      <c r="E1119" t="str">
        <f>VLOOKUP(Summary!M1129,Summary!$P$42:$Q$43,2)</f>
        <v>86</v>
      </c>
      <c r="F1119">
        <f>IF(LEFT(A1119,3)="B60",20,IF(LEFT(A1119,3)="B12",30,25))+B1119*0.5+INT(Summary!M1132*20)</f>
        <v>206</v>
      </c>
      <c r="G1119">
        <f>ROUND(IF(OR(ISERROR(FIND(Summary!$P$89,CONCATENATE(C1119,D1119,E1119))),ISERROR(FIND(Summary!$Q$89,A1119))),Summary!$R$45,IF(H1119&gt;Summary!$V$3,Summary!$R$46,Summary!$R$45))*(B1119+30),0)</f>
        <v>4</v>
      </c>
      <c r="H1119">
        <f>IF(H1118&gt;Summary!$V$4,0,H1118+F1118)</f>
        <v>32835</v>
      </c>
      <c r="I1119" s="26">
        <f>DATE(YEAR(Summary!$V$2),MONTH(Summary!$V$2),DAY(Summary!$V$2)+INT(H1119/480))</f>
        <v>43658</v>
      </c>
      <c r="J1119" s="27">
        <f t="shared" si="18"/>
        <v>0.46875</v>
      </c>
    </row>
    <row r="1120" spans="1:10">
      <c r="A1120" t="str">
        <f>VLOOKUP(Summary!M1119,Summary!$P$13:$Q$24,2)</f>
        <v>B1700-lime</v>
      </c>
      <c r="B1120">
        <f>ROUND(NORMINV(Summary!M1121,VLOOKUP(A1120,Summary!$Q$13:$S$24,3,FALSE),VLOOKUP(A1120,Summary!$Q$13:$S$24,3,FALSE)/6),-1)</f>
        <v>530</v>
      </c>
      <c r="C1120" t="str">
        <f>IF(AND(H1120=0,C1119=Summary!$P$2),Summary!$Q$2,IF(AND(H1120=0,C1119=Summary!$Q$2),Summary!$R$2,C1119))</f>
        <v>Jared</v>
      </c>
      <c r="D1120" t="str">
        <f>IF(C1120=Summary!$P$26,VLOOKUP(Summary!M1127,Summary!$Q$26:$R$27,2),IF('Run Data'!C1120=Summary!$P$28,VLOOKUP(Summary!M1127,Summary!$Q$28:$R$29,2),VLOOKUP(Summary!M1127,Summary!$Q$30:$R$32,2)))</f>
        <v>Sprig 1</v>
      </c>
      <c r="E1120" t="str">
        <f>VLOOKUP(Summary!M1130,Summary!$P$42:$Q$43,2)</f>
        <v>86</v>
      </c>
      <c r="F1120">
        <f>IF(LEFT(A1120,3)="B60",20,IF(LEFT(A1120,3)="B12",30,25))+B1120*0.5+INT(Summary!M1133*20)</f>
        <v>306</v>
      </c>
      <c r="G1120">
        <f>ROUND(IF(OR(ISERROR(FIND(Summary!$P$89,CONCATENATE(C1120,D1120,E1120))),ISERROR(FIND(Summary!$Q$89,A1120))),Summary!$R$45,IF(H1120&gt;Summary!$V$3,Summary!$R$46,Summary!$R$45))*(B1120+30),0)</f>
        <v>6</v>
      </c>
      <c r="H1120">
        <f>IF(H1119&gt;Summary!$V$4,0,H1119+F1119)</f>
        <v>33041</v>
      </c>
      <c r="I1120" s="26">
        <f>DATE(YEAR(Summary!$V$2),MONTH(Summary!$V$2),DAY(Summary!$V$2)+INT(H1120/480))</f>
        <v>43658</v>
      </c>
      <c r="J1120" s="27">
        <f t="shared" si="18"/>
        <v>0.6118055555555556</v>
      </c>
    </row>
    <row r="1121" spans="1:10">
      <c r="A1121" t="str">
        <f>VLOOKUP(Summary!M1120,Summary!$P$13:$Q$24,2)</f>
        <v>B1700-plum</v>
      </c>
      <c r="B1121">
        <f>ROUND(NORMINV(Summary!M1122,VLOOKUP(A1121,Summary!$Q$13:$S$24,3,FALSE),VLOOKUP(A1121,Summary!$Q$13:$S$24,3,FALSE)/6),-1)</f>
        <v>320</v>
      </c>
      <c r="C1121" t="str">
        <f>IF(AND(H1121=0,C1120=Summary!$P$2),Summary!$Q$2,IF(AND(H1121=0,C1120=Summary!$Q$2),Summary!$R$2,C1120))</f>
        <v>Jared</v>
      </c>
      <c r="D1121" t="str">
        <f>IF(C1121=Summary!$P$26,VLOOKUP(Summary!M1128,Summary!$Q$26:$R$27,2),IF('Run Data'!C1121=Summary!$P$28,VLOOKUP(Summary!M1128,Summary!$Q$28:$R$29,2),VLOOKUP(Summary!M1128,Summary!$Q$30:$R$32,2)))</f>
        <v>Sprig 2</v>
      </c>
      <c r="E1121" t="str">
        <f>VLOOKUP(Summary!M1131,Summary!$P$42:$Q$43,2)</f>
        <v>86</v>
      </c>
      <c r="F1121">
        <f>IF(LEFT(A1121,3)="B60",20,IF(LEFT(A1121,3)="B12",30,25))+B1121*0.5+INT(Summary!M1134*20)</f>
        <v>203</v>
      </c>
      <c r="G1121">
        <f>ROUND(IF(OR(ISERROR(FIND(Summary!$P$89,CONCATENATE(C1121,D1121,E1121))),ISERROR(FIND(Summary!$Q$89,A1121))),Summary!$R$45,IF(H1121&gt;Summary!$V$3,Summary!$R$46,Summary!$R$45))*(B1121+30),0)</f>
        <v>4</v>
      </c>
      <c r="H1121">
        <f>IF(H1120&gt;Summary!$V$4,0,H1120+F1120)</f>
        <v>33347</v>
      </c>
      <c r="I1121" s="26">
        <f>DATE(YEAR(Summary!$V$2),MONTH(Summary!$V$2),DAY(Summary!$V$2)+INT(H1121/480))</f>
        <v>43659</v>
      </c>
      <c r="J1121" s="27">
        <f t="shared" si="18"/>
        <v>0.4909722222222222</v>
      </c>
    </row>
    <row r="1122" spans="1:10">
      <c r="A1122" t="str">
        <f>VLOOKUP(Summary!M1121,Summary!$P$13:$Q$24,2)</f>
        <v>B1700-lime</v>
      </c>
      <c r="B1122">
        <f>ROUND(NORMINV(Summary!M1123,VLOOKUP(A1122,Summary!$Q$13:$S$24,3,FALSE),VLOOKUP(A1122,Summary!$Q$13:$S$24,3,FALSE)/6),-1)</f>
        <v>500</v>
      </c>
      <c r="C1122" t="str">
        <f>IF(AND(H1122=0,C1121=Summary!$P$2),Summary!$Q$2,IF(AND(H1122=0,C1121=Summary!$Q$2),Summary!$R$2,C1121))</f>
        <v>Jared</v>
      </c>
      <c r="D1122" t="str">
        <f>IF(C1122=Summary!$P$26,VLOOKUP(Summary!M1129,Summary!$Q$26:$R$27,2),IF('Run Data'!C1122=Summary!$P$28,VLOOKUP(Summary!M1129,Summary!$Q$28:$R$29,2),VLOOKUP(Summary!M1129,Summary!$Q$30:$R$32,2)))</f>
        <v>Sprig 2</v>
      </c>
      <c r="E1122" t="str">
        <f>VLOOKUP(Summary!M1132,Summary!$P$42:$Q$43,2)</f>
        <v>86</v>
      </c>
      <c r="F1122">
        <f>IF(LEFT(A1122,3)="B60",20,IF(LEFT(A1122,3)="B12",30,25))+B1122*0.5+INT(Summary!M1135*20)</f>
        <v>281</v>
      </c>
      <c r="G1122">
        <f>ROUND(IF(OR(ISERROR(FIND(Summary!$P$89,CONCATENATE(C1122,D1122,E1122))),ISERROR(FIND(Summary!$Q$89,A1122))),Summary!$R$45,IF(H1122&gt;Summary!$V$3,Summary!$R$46,Summary!$R$45))*(B1122+30),0)</f>
        <v>5</v>
      </c>
      <c r="H1122">
        <f>IF(H1121&gt;Summary!$V$4,0,H1121+F1121)</f>
        <v>33550</v>
      </c>
      <c r="I1122" s="26">
        <f>DATE(YEAR(Summary!$V$2),MONTH(Summary!$V$2),DAY(Summary!$V$2)+INT(H1122/480))</f>
        <v>43659</v>
      </c>
      <c r="J1122" s="27">
        <f t="shared" si="18"/>
        <v>0.63194444444444442</v>
      </c>
    </row>
    <row r="1123" spans="1:10">
      <c r="A1123" t="str">
        <f>VLOOKUP(Summary!M1122,Summary!$P$13:$Q$24,2)</f>
        <v>B1200-lime</v>
      </c>
      <c r="B1123">
        <f>ROUND(NORMINV(Summary!M1124,VLOOKUP(A1123,Summary!$Q$13:$S$24,3,FALSE),VLOOKUP(A1123,Summary!$Q$13:$S$24,3,FALSE)/6),-1)</f>
        <v>830</v>
      </c>
      <c r="C1123" t="str">
        <f>IF(AND(H1123=0,C1122=Summary!$P$2),Summary!$Q$2,IF(AND(H1123=0,C1122=Summary!$Q$2),Summary!$R$2,C1122))</f>
        <v>Jared</v>
      </c>
      <c r="D1123" t="str">
        <f>IF(C1123=Summary!$P$26,VLOOKUP(Summary!M1130,Summary!$Q$26:$R$27,2),IF('Run Data'!C1123=Summary!$P$28,VLOOKUP(Summary!M1130,Summary!$Q$28:$R$29,2),VLOOKUP(Summary!M1130,Summary!$Q$30:$R$32,2)))</f>
        <v>Sprig 3</v>
      </c>
      <c r="E1123" t="str">
        <f>VLOOKUP(Summary!M1133,Summary!$P$42:$Q$43,2)</f>
        <v>86</v>
      </c>
      <c r="F1123">
        <f>IF(LEFT(A1123,3)="B60",20,IF(LEFT(A1123,3)="B12",30,25))+B1123*0.5+INT(Summary!M1136*20)</f>
        <v>449</v>
      </c>
      <c r="G1123">
        <f>ROUND(IF(OR(ISERROR(FIND(Summary!$P$89,CONCATENATE(C1123,D1123,E1123))),ISERROR(FIND(Summary!$Q$89,A1123))),Summary!$R$45,IF(H1123&gt;Summary!$V$3,Summary!$R$46,Summary!$R$45))*(B1123+30),0)</f>
        <v>9</v>
      </c>
      <c r="H1123">
        <f>IF(H1122&gt;Summary!$V$4,0,H1122+F1122)</f>
        <v>33831</v>
      </c>
      <c r="I1123" s="26">
        <f>DATE(YEAR(Summary!$V$2),MONTH(Summary!$V$2),DAY(Summary!$V$2)+INT(H1123/480))</f>
        <v>43660</v>
      </c>
      <c r="J1123" s="27">
        <f t="shared" si="18"/>
        <v>0.49374999999999997</v>
      </c>
    </row>
    <row r="1124" spans="1:10">
      <c r="A1124" t="str">
        <f>VLOOKUP(Summary!M1123,Summary!$P$13:$Q$24,2)</f>
        <v>B1700-lime</v>
      </c>
      <c r="B1124">
        <f>ROUND(NORMINV(Summary!M1125,VLOOKUP(A1124,Summary!$Q$13:$S$24,3,FALSE),VLOOKUP(A1124,Summary!$Q$13:$S$24,3,FALSE)/6),-1)</f>
        <v>360</v>
      </c>
      <c r="C1124" t="str">
        <f>IF(AND(H1124=0,C1123=Summary!$P$2),Summary!$Q$2,IF(AND(H1124=0,C1123=Summary!$Q$2),Summary!$R$2,C1123))</f>
        <v>Jared</v>
      </c>
      <c r="D1124" t="str">
        <f>IF(C1124=Summary!$P$26,VLOOKUP(Summary!M1131,Summary!$Q$26:$R$27,2),IF('Run Data'!C1124=Summary!$P$28,VLOOKUP(Summary!M1131,Summary!$Q$28:$R$29,2),VLOOKUP(Summary!M1131,Summary!$Q$30:$R$32,2)))</f>
        <v>Sprig 1</v>
      </c>
      <c r="E1124" t="str">
        <f>VLOOKUP(Summary!M1134,Summary!$P$42:$Q$43,2)</f>
        <v>87b</v>
      </c>
      <c r="F1124">
        <f>IF(LEFT(A1124,3)="B60",20,IF(LEFT(A1124,3)="B12",30,25))+B1124*0.5+INT(Summary!M1137*20)</f>
        <v>221</v>
      </c>
      <c r="G1124">
        <f>ROUND(IF(OR(ISERROR(FIND(Summary!$P$89,CONCATENATE(C1124,D1124,E1124))),ISERROR(FIND(Summary!$Q$89,A1124))),Summary!$R$45,IF(H1124&gt;Summary!$V$3,Summary!$R$46,Summary!$R$45))*(B1124+30),0)</f>
        <v>4</v>
      </c>
      <c r="H1124">
        <f>IF(H1123&gt;Summary!$V$4,0,H1123+F1123)</f>
        <v>34280</v>
      </c>
      <c r="I1124" s="26">
        <f>DATE(YEAR(Summary!$V$2),MONTH(Summary!$V$2),DAY(Summary!$V$2)+INT(H1124/480))</f>
        <v>43661</v>
      </c>
      <c r="J1124" s="27">
        <f t="shared" si="18"/>
        <v>0.47222222222222227</v>
      </c>
    </row>
    <row r="1125" spans="1:10">
      <c r="A1125" t="str">
        <f>VLOOKUP(Summary!M1124,Summary!$P$13:$Q$24,2)</f>
        <v>B1200-lime</v>
      </c>
      <c r="B1125">
        <f>ROUND(NORMINV(Summary!M1126,VLOOKUP(A1125,Summary!$Q$13:$S$24,3,FALSE),VLOOKUP(A1125,Summary!$Q$13:$S$24,3,FALSE)/6),-1)</f>
        <v>900</v>
      </c>
      <c r="C1125" t="str">
        <f>IF(AND(H1125=0,C1124=Summary!$P$2),Summary!$Q$2,IF(AND(H1125=0,C1124=Summary!$Q$2),Summary!$R$2,C1124))</f>
        <v>Jared</v>
      </c>
      <c r="D1125" t="str">
        <f>IF(C1125=Summary!$P$26,VLOOKUP(Summary!M1132,Summary!$Q$26:$R$27,2),IF('Run Data'!C1125=Summary!$P$28,VLOOKUP(Summary!M1132,Summary!$Q$28:$R$29,2),VLOOKUP(Summary!M1132,Summary!$Q$30:$R$32,2)))</f>
        <v>Sprig 3</v>
      </c>
      <c r="E1125" t="str">
        <f>VLOOKUP(Summary!M1135,Summary!$P$42:$Q$43,2)</f>
        <v>86</v>
      </c>
      <c r="F1125">
        <f>IF(LEFT(A1125,3)="B60",20,IF(LEFT(A1125,3)="B12",30,25))+B1125*0.5+INT(Summary!M1138*20)</f>
        <v>496</v>
      </c>
      <c r="G1125">
        <f>ROUND(IF(OR(ISERROR(FIND(Summary!$P$89,CONCATENATE(C1125,D1125,E1125))),ISERROR(FIND(Summary!$Q$89,A1125))),Summary!$R$45,IF(H1125&gt;Summary!$V$3,Summary!$R$46,Summary!$R$45))*(B1125+30),0)</f>
        <v>9</v>
      </c>
      <c r="H1125">
        <f>IF(H1124&gt;Summary!$V$4,0,H1124+F1124)</f>
        <v>34501</v>
      </c>
      <c r="I1125" s="26">
        <f>DATE(YEAR(Summary!$V$2),MONTH(Summary!$V$2),DAY(Summary!$V$2)+INT(H1125/480))</f>
        <v>43661</v>
      </c>
      <c r="J1125" s="27">
        <f t="shared" si="18"/>
        <v>0.62569444444444444</v>
      </c>
    </row>
    <row r="1126" spans="1:10">
      <c r="A1126" t="str">
        <f>VLOOKUP(Summary!M1125,Summary!$P$13:$Q$24,2)</f>
        <v>B1200-plum</v>
      </c>
      <c r="B1126">
        <f>ROUND(NORMINV(Summary!M1127,VLOOKUP(A1126,Summary!$Q$13:$S$24,3,FALSE),VLOOKUP(A1126,Summary!$Q$13:$S$24,3,FALSE)/6),-1)</f>
        <v>380</v>
      </c>
      <c r="C1126" t="str">
        <f>IF(AND(H1126=0,C1125=Summary!$P$2),Summary!$Q$2,IF(AND(H1126=0,C1125=Summary!$Q$2),Summary!$R$2,C1125))</f>
        <v>Jared</v>
      </c>
      <c r="D1126" t="str">
        <f>IF(C1126=Summary!$P$26,VLOOKUP(Summary!M1133,Summary!$Q$26:$R$27,2),IF('Run Data'!C1126=Summary!$P$28,VLOOKUP(Summary!M1133,Summary!$Q$28:$R$29,2),VLOOKUP(Summary!M1133,Summary!$Q$30:$R$32,2)))</f>
        <v>Sprig 3</v>
      </c>
      <c r="E1126" t="str">
        <f>VLOOKUP(Summary!M1136,Summary!$P$42:$Q$43,2)</f>
        <v>86</v>
      </c>
      <c r="F1126">
        <f>IF(LEFT(A1126,3)="B60",20,IF(LEFT(A1126,3)="B12",30,25))+B1126*0.5+INT(Summary!M1139*20)</f>
        <v>239</v>
      </c>
      <c r="G1126">
        <f>ROUND(IF(OR(ISERROR(FIND(Summary!$P$89,CONCATENATE(C1126,D1126,E1126))),ISERROR(FIND(Summary!$Q$89,A1126))),Summary!$R$45,IF(H1126&gt;Summary!$V$3,Summary!$R$46,Summary!$R$45))*(B1126+30),0)</f>
        <v>4</v>
      </c>
      <c r="H1126">
        <f>IF(H1125&gt;Summary!$V$4,0,H1125+F1125)</f>
        <v>34997</v>
      </c>
      <c r="I1126" s="26">
        <f>DATE(YEAR(Summary!$V$2),MONTH(Summary!$V$2),DAY(Summary!$V$2)+INT(H1126/480))</f>
        <v>43662</v>
      </c>
      <c r="J1126" s="27">
        <f t="shared" si="18"/>
        <v>0.63680555555555551</v>
      </c>
    </row>
    <row r="1127" spans="1:10">
      <c r="A1127" t="str">
        <f>VLOOKUP(Summary!M1126,Summary!$P$13:$Q$24,2)</f>
        <v>B1700-sky</v>
      </c>
      <c r="B1127">
        <f>ROUND(NORMINV(Summary!M1128,VLOOKUP(A1127,Summary!$Q$13:$S$24,3,FALSE),VLOOKUP(A1127,Summary!$Q$13:$S$24,3,FALSE)/6),-1)</f>
        <v>560</v>
      </c>
      <c r="C1127" t="str">
        <f>IF(AND(H1127=0,C1126=Summary!$P$2),Summary!$Q$2,IF(AND(H1127=0,C1126=Summary!$Q$2),Summary!$R$2,C1126))</f>
        <v>Jared</v>
      </c>
      <c r="D1127" t="str">
        <f>IF(C1127=Summary!$P$26,VLOOKUP(Summary!M1134,Summary!$Q$26:$R$27,2),IF('Run Data'!C1127=Summary!$P$28,VLOOKUP(Summary!M1134,Summary!$Q$28:$R$29,2),VLOOKUP(Summary!M1134,Summary!$Q$30:$R$32,2)))</f>
        <v>Sprig 3</v>
      </c>
      <c r="E1127" t="str">
        <f>VLOOKUP(Summary!M1137,Summary!$P$42:$Q$43,2)</f>
        <v>86</v>
      </c>
      <c r="F1127">
        <f>IF(LEFT(A1127,3)="B60",20,IF(LEFT(A1127,3)="B12",30,25))+B1127*0.5+INT(Summary!M1140*20)</f>
        <v>314</v>
      </c>
      <c r="G1127">
        <f>ROUND(IF(OR(ISERROR(FIND(Summary!$P$89,CONCATENATE(C1127,D1127,E1127))),ISERROR(FIND(Summary!$Q$89,A1127))),Summary!$R$45,IF(H1127&gt;Summary!$V$3,Summary!$R$46,Summary!$R$45))*(B1127+30),0)</f>
        <v>6</v>
      </c>
      <c r="H1127">
        <f>IF(H1126&gt;Summary!$V$4,0,H1126+F1126)</f>
        <v>35236</v>
      </c>
      <c r="I1127" s="26">
        <f>DATE(YEAR(Summary!$V$2),MONTH(Summary!$V$2),DAY(Summary!$V$2)+INT(H1127/480))</f>
        <v>43663</v>
      </c>
      <c r="J1127" s="27">
        <f t="shared" si="18"/>
        <v>0.4694444444444445</v>
      </c>
    </row>
    <row r="1128" spans="1:10">
      <c r="A1128" t="str">
        <f>VLOOKUP(Summary!M1127,Summary!$P$13:$Q$24,2)</f>
        <v>B600-lime</v>
      </c>
      <c r="B1128">
        <f>ROUND(NORMINV(Summary!M1129,VLOOKUP(A1128,Summary!$Q$13:$S$24,3,FALSE),VLOOKUP(A1128,Summary!$Q$13:$S$24,3,FALSE)/6),-1)</f>
        <v>270</v>
      </c>
      <c r="C1128" t="str">
        <f>IF(AND(H1128=0,C1127=Summary!$P$2),Summary!$Q$2,IF(AND(H1128=0,C1127=Summary!$Q$2),Summary!$R$2,C1127))</f>
        <v>Jared</v>
      </c>
      <c r="D1128" t="str">
        <f>IF(C1128=Summary!$P$26,VLOOKUP(Summary!M1135,Summary!$Q$26:$R$27,2),IF('Run Data'!C1128=Summary!$P$28,VLOOKUP(Summary!M1135,Summary!$Q$28:$R$29,2),VLOOKUP(Summary!M1135,Summary!$Q$30:$R$32,2)))</f>
        <v>Sprig 2</v>
      </c>
      <c r="E1128" t="str">
        <f>VLOOKUP(Summary!M1138,Summary!$P$42:$Q$43,2)</f>
        <v>86</v>
      </c>
      <c r="F1128">
        <f>IF(LEFT(A1128,3)="B60",20,IF(LEFT(A1128,3)="B12",30,25))+B1128*0.5+INT(Summary!M1141*20)</f>
        <v>156</v>
      </c>
      <c r="G1128">
        <f>ROUND(IF(OR(ISERROR(FIND(Summary!$P$89,CONCATENATE(C1128,D1128,E1128))),ISERROR(FIND(Summary!$Q$89,A1128))),Summary!$R$45,IF(H1128&gt;Summary!$V$3,Summary!$R$46,Summary!$R$45))*(B1128+30),0)</f>
        <v>3</v>
      </c>
      <c r="H1128">
        <f>IF(H1127&gt;Summary!$V$4,0,H1127+F1127)</f>
        <v>35550</v>
      </c>
      <c r="I1128" s="26">
        <f>DATE(YEAR(Summary!$V$2),MONTH(Summary!$V$2),DAY(Summary!$V$2)+INT(H1128/480))</f>
        <v>43664</v>
      </c>
      <c r="J1128" s="27">
        <f t="shared" si="18"/>
        <v>0.35416666666666669</v>
      </c>
    </row>
    <row r="1129" spans="1:10">
      <c r="A1129" t="str">
        <f>VLOOKUP(Summary!M1128,Summary!$P$13:$Q$24,2)</f>
        <v>B1200-lime</v>
      </c>
      <c r="B1129">
        <f>ROUND(NORMINV(Summary!M1130,VLOOKUP(A1129,Summary!$Q$13:$S$24,3,FALSE),VLOOKUP(A1129,Summary!$Q$13:$S$24,3,FALSE)/6),-1)</f>
        <v>910</v>
      </c>
      <c r="C1129" t="str">
        <f>IF(AND(H1129=0,C1128=Summary!$P$2),Summary!$Q$2,IF(AND(H1129=0,C1128=Summary!$Q$2),Summary!$R$2,C1128))</f>
        <v>Jared</v>
      </c>
      <c r="D1129" t="str">
        <f>IF(C1129=Summary!$P$26,VLOOKUP(Summary!M1136,Summary!$Q$26:$R$27,2),IF('Run Data'!C1129=Summary!$P$28,VLOOKUP(Summary!M1136,Summary!$Q$28:$R$29,2),VLOOKUP(Summary!M1136,Summary!$Q$30:$R$32,2)))</f>
        <v>Sprig 2</v>
      </c>
      <c r="E1129" t="str">
        <f>VLOOKUP(Summary!M1139,Summary!$P$42:$Q$43,2)</f>
        <v>87b</v>
      </c>
      <c r="F1129">
        <f>IF(LEFT(A1129,3)="B60",20,IF(LEFT(A1129,3)="B12",30,25))+B1129*0.5+INT(Summary!M1142*20)</f>
        <v>499</v>
      </c>
      <c r="G1129">
        <f>ROUND(IF(OR(ISERROR(FIND(Summary!$P$89,CONCATENATE(C1129,D1129,E1129))),ISERROR(FIND(Summary!$Q$89,A1129))),Summary!$R$45,IF(H1129&gt;Summary!$V$3,Summary!$R$46,Summary!$R$45))*(B1129+30),0)</f>
        <v>9</v>
      </c>
      <c r="H1129">
        <f>IF(H1128&gt;Summary!$V$4,0,H1128+F1128)</f>
        <v>35706</v>
      </c>
      <c r="I1129" s="26">
        <f>DATE(YEAR(Summary!$V$2),MONTH(Summary!$V$2),DAY(Summary!$V$2)+INT(H1129/480))</f>
        <v>43664</v>
      </c>
      <c r="J1129" s="27">
        <f t="shared" si="18"/>
        <v>0.46249999999999997</v>
      </c>
    </row>
    <row r="1130" spans="1:10">
      <c r="A1130" t="str">
        <f>VLOOKUP(Summary!M1129,Summary!$P$13:$Q$24,2)</f>
        <v>B1200-plum</v>
      </c>
      <c r="B1130">
        <f>ROUND(NORMINV(Summary!M1131,VLOOKUP(A1130,Summary!$Q$13:$S$24,3,FALSE),VLOOKUP(A1130,Summary!$Q$13:$S$24,3,FALSE)/6),-1)</f>
        <v>350</v>
      </c>
      <c r="C1130" t="str">
        <f>IF(AND(H1130=0,C1129=Summary!$P$2),Summary!$Q$2,IF(AND(H1130=0,C1129=Summary!$Q$2),Summary!$R$2,C1129))</f>
        <v>Jared</v>
      </c>
      <c r="D1130" t="str">
        <f>IF(C1130=Summary!$P$26,VLOOKUP(Summary!M1137,Summary!$Q$26:$R$27,2),IF('Run Data'!C1130=Summary!$P$28,VLOOKUP(Summary!M1137,Summary!$Q$28:$R$29,2),VLOOKUP(Summary!M1137,Summary!$Q$30:$R$32,2)))</f>
        <v>Sprig 3</v>
      </c>
      <c r="E1130" t="str">
        <f>VLOOKUP(Summary!M1140,Summary!$P$42:$Q$43,2)</f>
        <v>86</v>
      </c>
      <c r="F1130">
        <f>IF(LEFT(A1130,3)="B60",20,IF(LEFT(A1130,3)="B12",30,25))+B1130*0.5+INT(Summary!M1143*20)</f>
        <v>212</v>
      </c>
      <c r="G1130">
        <f>ROUND(IF(OR(ISERROR(FIND(Summary!$P$89,CONCATENATE(C1130,D1130,E1130))),ISERROR(FIND(Summary!$Q$89,A1130))),Summary!$R$45,IF(H1130&gt;Summary!$V$3,Summary!$R$46,Summary!$R$45))*(B1130+30),0)</f>
        <v>4</v>
      </c>
      <c r="H1130">
        <f>IF(H1129&gt;Summary!$V$4,0,H1129+F1129)</f>
        <v>36205</v>
      </c>
      <c r="I1130" s="26">
        <f>DATE(YEAR(Summary!$V$2),MONTH(Summary!$V$2),DAY(Summary!$V$2)+INT(H1130/480))</f>
        <v>43665</v>
      </c>
      <c r="J1130" s="27">
        <f t="shared" si="18"/>
        <v>0.47569444444444442</v>
      </c>
    </row>
    <row r="1131" spans="1:10">
      <c r="A1131" t="str">
        <f>VLOOKUP(Summary!M1130,Summary!$P$13:$Q$24,2)</f>
        <v>B1700-sky</v>
      </c>
      <c r="B1131">
        <f>ROUND(NORMINV(Summary!M1132,VLOOKUP(A1131,Summary!$Q$13:$S$24,3,FALSE),VLOOKUP(A1131,Summary!$Q$13:$S$24,3,FALSE)/6),-1)</f>
        <v>630</v>
      </c>
      <c r="C1131" t="str">
        <f>IF(AND(H1131=0,C1130=Summary!$P$2),Summary!$Q$2,IF(AND(H1131=0,C1130=Summary!$Q$2),Summary!$R$2,C1130))</f>
        <v>Jared</v>
      </c>
      <c r="D1131" t="str">
        <f>IF(C1131=Summary!$P$26,VLOOKUP(Summary!M1138,Summary!$Q$26:$R$27,2),IF('Run Data'!C1131=Summary!$P$28,VLOOKUP(Summary!M1138,Summary!$Q$28:$R$29,2),VLOOKUP(Summary!M1138,Summary!$Q$30:$R$32,2)))</f>
        <v>Sprig 3</v>
      </c>
      <c r="E1131" t="str">
        <f>VLOOKUP(Summary!M1141,Summary!$P$42:$Q$43,2)</f>
        <v>86</v>
      </c>
      <c r="F1131">
        <f>IF(LEFT(A1131,3)="B60",20,IF(LEFT(A1131,3)="B12",30,25))+B1131*0.5+INT(Summary!M1144*20)</f>
        <v>342</v>
      </c>
      <c r="G1131">
        <f>ROUND(IF(OR(ISERROR(FIND(Summary!$P$89,CONCATENATE(C1131,D1131,E1131))),ISERROR(FIND(Summary!$Q$89,A1131))),Summary!$R$45,IF(H1131&gt;Summary!$V$3,Summary!$R$46,Summary!$R$45))*(B1131+30),0)</f>
        <v>7</v>
      </c>
      <c r="H1131">
        <f>IF(H1130&gt;Summary!$V$4,0,H1130+F1130)</f>
        <v>36417</v>
      </c>
      <c r="I1131" s="26">
        <f>DATE(YEAR(Summary!$V$2),MONTH(Summary!$V$2),DAY(Summary!$V$2)+INT(H1131/480))</f>
        <v>43665</v>
      </c>
      <c r="J1131" s="27">
        <f t="shared" si="18"/>
        <v>0.62291666666666667</v>
      </c>
    </row>
    <row r="1132" spans="1:10">
      <c r="A1132" t="str">
        <f>VLOOKUP(Summary!M1131,Summary!$P$13:$Q$24,2)</f>
        <v>B600-sky</v>
      </c>
      <c r="B1132">
        <f>ROUND(NORMINV(Summary!M1133,VLOOKUP(A1132,Summary!$Q$13:$S$24,3,FALSE),VLOOKUP(A1132,Summary!$Q$13:$S$24,3,FALSE)/6),-1)</f>
        <v>580</v>
      </c>
      <c r="C1132" t="str">
        <f>IF(AND(H1132=0,C1131=Summary!$P$2),Summary!$Q$2,IF(AND(H1132=0,C1131=Summary!$Q$2),Summary!$R$2,C1131))</f>
        <v>Jared</v>
      </c>
      <c r="D1132" t="str">
        <f>IF(C1132=Summary!$P$26,VLOOKUP(Summary!M1139,Summary!$Q$26:$R$27,2),IF('Run Data'!C1132=Summary!$P$28,VLOOKUP(Summary!M1139,Summary!$Q$28:$R$29,2),VLOOKUP(Summary!M1139,Summary!$Q$30:$R$32,2)))</f>
        <v>Sprig 3</v>
      </c>
      <c r="E1132" t="str">
        <f>VLOOKUP(Summary!M1142,Summary!$P$42:$Q$43,2)</f>
        <v>86</v>
      </c>
      <c r="F1132">
        <f>IF(LEFT(A1132,3)="B60",20,IF(LEFT(A1132,3)="B12",30,25))+B1132*0.5+INT(Summary!M1145*20)</f>
        <v>329</v>
      </c>
      <c r="G1132">
        <f>ROUND(IF(OR(ISERROR(FIND(Summary!$P$89,CONCATENATE(C1132,D1132,E1132))),ISERROR(FIND(Summary!$Q$89,A1132))),Summary!$R$45,IF(H1132&gt;Summary!$V$3,Summary!$R$46,Summary!$R$45))*(B1132+30),0)</f>
        <v>6</v>
      </c>
      <c r="H1132">
        <f>IF(H1131&gt;Summary!$V$4,0,H1131+F1131)</f>
        <v>36759</v>
      </c>
      <c r="I1132" s="26">
        <f>DATE(YEAR(Summary!$V$2),MONTH(Summary!$V$2),DAY(Summary!$V$2)+INT(H1132/480))</f>
        <v>43666</v>
      </c>
      <c r="J1132" s="27">
        <f t="shared" si="18"/>
        <v>0.52708333333333335</v>
      </c>
    </row>
    <row r="1133" spans="1:10">
      <c r="A1133" t="str">
        <f>VLOOKUP(Summary!M1132,Summary!$P$13:$Q$24,2)</f>
        <v>B1700-sky</v>
      </c>
      <c r="B1133">
        <f>ROUND(NORMINV(Summary!M1134,VLOOKUP(A1133,Summary!$Q$13:$S$24,3,FALSE),VLOOKUP(A1133,Summary!$Q$13:$S$24,3,FALSE)/6),-1)</f>
        <v>690</v>
      </c>
      <c r="C1133" t="str">
        <f>IF(AND(H1133=0,C1132=Summary!$P$2),Summary!$Q$2,IF(AND(H1133=0,C1132=Summary!$Q$2),Summary!$R$2,C1132))</f>
        <v>Jared</v>
      </c>
      <c r="D1133" t="str">
        <f>IF(C1133=Summary!$P$26,VLOOKUP(Summary!M1140,Summary!$Q$26:$R$27,2),IF('Run Data'!C1133=Summary!$P$28,VLOOKUP(Summary!M1140,Summary!$Q$28:$R$29,2),VLOOKUP(Summary!M1140,Summary!$Q$30:$R$32,2)))</f>
        <v>Sprig 2</v>
      </c>
      <c r="E1133" t="str">
        <f>VLOOKUP(Summary!M1143,Summary!$P$42:$Q$43,2)</f>
        <v>86</v>
      </c>
      <c r="F1133">
        <f>IF(LEFT(A1133,3)="B60",20,IF(LEFT(A1133,3)="B12",30,25))+B1133*0.5+INT(Summary!M1146*20)</f>
        <v>378</v>
      </c>
      <c r="G1133">
        <f>ROUND(IF(OR(ISERROR(FIND(Summary!$P$89,CONCATENATE(C1133,D1133,E1133))),ISERROR(FIND(Summary!$Q$89,A1133))),Summary!$R$45,IF(H1133&gt;Summary!$V$3,Summary!$R$46,Summary!$R$45))*(B1133+30),0)</f>
        <v>7</v>
      </c>
      <c r="H1133">
        <f>IF(H1132&gt;Summary!$V$4,0,H1132+F1132)</f>
        <v>37088</v>
      </c>
      <c r="I1133" s="26">
        <f>DATE(YEAR(Summary!$V$2),MONTH(Summary!$V$2),DAY(Summary!$V$2)+INT(H1133/480))</f>
        <v>43667</v>
      </c>
      <c r="J1133" s="27">
        <f t="shared" si="18"/>
        <v>0.42222222222222222</v>
      </c>
    </row>
    <row r="1134" spans="1:10">
      <c r="A1134" t="str">
        <f>VLOOKUP(Summary!M1133,Summary!$P$13:$Q$24,2)</f>
        <v>B1700-sky</v>
      </c>
      <c r="B1134">
        <f>ROUND(NORMINV(Summary!M1135,VLOOKUP(A1134,Summary!$Q$13:$S$24,3,FALSE),VLOOKUP(A1134,Summary!$Q$13:$S$24,3,FALSE)/6),-1)</f>
        <v>510</v>
      </c>
      <c r="C1134" t="str">
        <f>IF(AND(H1134=0,C1133=Summary!$P$2),Summary!$Q$2,IF(AND(H1134=0,C1133=Summary!$Q$2),Summary!$R$2,C1133))</f>
        <v>Jared</v>
      </c>
      <c r="D1134" t="str">
        <f>IF(C1134=Summary!$P$26,VLOOKUP(Summary!M1141,Summary!$Q$26:$R$27,2),IF('Run Data'!C1134=Summary!$P$28,VLOOKUP(Summary!M1141,Summary!$Q$28:$R$29,2),VLOOKUP(Summary!M1141,Summary!$Q$30:$R$32,2)))</f>
        <v>Sprig 1</v>
      </c>
      <c r="E1134" t="str">
        <f>VLOOKUP(Summary!M1144,Summary!$P$42:$Q$43,2)</f>
        <v>86</v>
      </c>
      <c r="F1134">
        <f>IF(LEFT(A1134,3)="B60",20,IF(LEFT(A1134,3)="B12",30,25))+B1134*0.5+INT(Summary!M1147*20)</f>
        <v>295</v>
      </c>
      <c r="G1134">
        <f>ROUND(IF(OR(ISERROR(FIND(Summary!$P$89,CONCATENATE(C1134,D1134,E1134))),ISERROR(FIND(Summary!$Q$89,A1134))),Summary!$R$45,IF(H1134&gt;Summary!$V$3,Summary!$R$46,Summary!$R$45))*(B1134+30),0)</f>
        <v>5</v>
      </c>
      <c r="H1134">
        <f>IF(H1133&gt;Summary!$V$4,0,H1133+F1133)</f>
        <v>37466</v>
      </c>
      <c r="I1134" s="26">
        <f>DATE(YEAR(Summary!$V$2),MONTH(Summary!$V$2),DAY(Summary!$V$2)+INT(H1134/480))</f>
        <v>43668</v>
      </c>
      <c r="J1134" s="27">
        <f t="shared" si="18"/>
        <v>0.35138888888888892</v>
      </c>
    </row>
    <row r="1135" spans="1:10">
      <c r="A1135" t="str">
        <f>VLOOKUP(Summary!M1134,Summary!$P$13:$Q$24,2)</f>
        <v>B1700-lime</v>
      </c>
      <c r="B1135">
        <f>ROUND(NORMINV(Summary!M1136,VLOOKUP(A1135,Summary!$Q$13:$S$24,3,FALSE),VLOOKUP(A1135,Summary!$Q$13:$S$24,3,FALSE)/6),-1)</f>
        <v>350</v>
      </c>
      <c r="C1135" t="str">
        <f>IF(AND(H1135=0,C1134=Summary!$P$2),Summary!$Q$2,IF(AND(H1135=0,C1134=Summary!$Q$2),Summary!$R$2,C1134))</f>
        <v>Jared</v>
      </c>
      <c r="D1135" t="str">
        <f>IF(C1135=Summary!$P$26,VLOOKUP(Summary!M1142,Summary!$Q$26:$R$27,2),IF('Run Data'!C1135=Summary!$P$28,VLOOKUP(Summary!M1142,Summary!$Q$28:$R$29,2),VLOOKUP(Summary!M1142,Summary!$Q$30:$R$32,2)))</f>
        <v>Sprig 3</v>
      </c>
      <c r="E1135" t="str">
        <f>VLOOKUP(Summary!M1145,Summary!$P$42:$Q$43,2)</f>
        <v>87b</v>
      </c>
      <c r="F1135">
        <f>IF(LEFT(A1135,3)="B60",20,IF(LEFT(A1135,3)="B12",30,25))+B1135*0.5+INT(Summary!M1148*20)</f>
        <v>219</v>
      </c>
      <c r="G1135">
        <f>ROUND(IF(OR(ISERROR(FIND(Summary!$P$89,CONCATENATE(C1135,D1135,E1135))),ISERROR(FIND(Summary!$Q$89,A1135))),Summary!$R$45,IF(H1135&gt;Summary!$V$3,Summary!$R$46,Summary!$R$45))*(B1135+30),0)</f>
        <v>4</v>
      </c>
      <c r="H1135">
        <f>IF(H1134&gt;Summary!$V$4,0,H1134+F1134)</f>
        <v>37761</v>
      </c>
      <c r="I1135" s="26">
        <f>DATE(YEAR(Summary!$V$2),MONTH(Summary!$V$2),DAY(Summary!$V$2)+INT(H1135/480))</f>
        <v>43668</v>
      </c>
      <c r="J1135" s="27">
        <f t="shared" si="18"/>
        <v>0.55625000000000002</v>
      </c>
    </row>
    <row r="1136" spans="1:10">
      <c r="A1136" t="str">
        <f>VLOOKUP(Summary!M1135,Summary!$P$13:$Q$24,2)</f>
        <v>B1200-sky</v>
      </c>
      <c r="B1136">
        <f>ROUND(NORMINV(Summary!M1137,VLOOKUP(A1136,Summary!$Q$13:$S$24,3,FALSE),VLOOKUP(A1136,Summary!$Q$13:$S$24,3,FALSE)/6),-1)</f>
        <v>1380</v>
      </c>
      <c r="C1136" t="str">
        <f>IF(AND(H1136=0,C1135=Summary!$P$2),Summary!$Q$2,IF(AND(H1136=0,C1135=Summary!$Q$2),Summary!$R$2,C1135))</f>
        <v>Jared</v>
      </c>
      <c r="D1136" t="str">
        <f>IF(C1136=Summary!$P$26,VLOOKUP(Summary!M1143,Summary!$Q$26:$R$27,2),IF('Run Data'!C1136=Summary!$P$28,VLOOKUP(Summary!M1143,Summary!$Q$28:$R$29,2),VLOOKUP(Summary!M1143,Summary!$Q$30:$R$32,2)))</f>
        <v>Sprig 2</v>
      </c>
      <c r="E1136" t="str">
        <f>VLOOKUP(Summary!M1146,Summary!$P$42:$Q$43,2)</f>
        <v>86</v>
      </c>
      <c r="F1136">
        <f>IF(LEFT(A1136,3)="B60",20,IF(LEFT(A1136,3)="B12",30,25))+B1136*0.5+INT(Summary!M1149*20)</f>
        <v>732</v>
      </c>
      <c r="G1136">
        <f>ROUND(IF(OR(ISERROR(FIND(Summary!$P$89,CONCATENATE(C1136,D1136,E1136))),ISERROR(FIND(Summary!$Q$89,A1136))),Summary!$R$45,IF(H1136&gt;Summary!$V$3,Summary!$R$46,Summary!$R$45))*(B1136+30),0)</f>
        <v>14</v>
      </c>
      <c r="H1136">
        <f>IF(H1135&gt;Summary!$V$4,0,H1135+F1135)</f>
        <v>37980</v>
      </c>
      <c r="I1136" s="26">
        <f>DATE(YEAR(Summary!$V$2),MONTH(Summary!$V$2),DAY(Summary!$V$2)+INT(H1136/480))</f>
        <v>43669</v>
      </c>
      <c r="J1136" s="27">
        <f t="shared" si="18"/>
        <v>0.375</v>
      </c>
    </row>
    <row r="1137" spans="1:10">
      <c r="A1137" t="str">
        <f>VLOOKUP(Summary!M1136,Summary!$P$13:$Q$24,2)</f>
        <v>B1200-plum</v>
      </c>
      <c r="B1137">
        <f>ROUND(NORMINV(Summary!M1138,VLOOKUP(A1137,Summary!$Q$13:$S$24,3,FALSE),VLOOKUP(A1137,Summary!$Q$13:$S$24,3,FALSE)/6),-1)</f>
        <v>520</v>
      </c>
      <c r="C1137" t="str">
        <f>IF(AND(H1137=0,C1136=Summary!$P$2),Summary!$Q$2,IF(AND(H1137=0,C1136=Summary!$Q$2),Summary!$R$2,C1136))</f>
        <v>Jared</v>
      </c>
      <c r="D1137" t="str">
        <f>IF(C1137=Summary!$P$26,VLOOKUP(Summary!M1144,Summary!$Q$26:$R$27,2),IF('Run Data'!C1137=Summary!$P$28,VLOOKUP(Summary!M1144,Summary!$Q$28:$R$29,2),VLOOKUP(Summary!M1144,Summary!$Q$30:$R$32,2)))</f>
        <v>Sprig 1</v>
      </c>
      <c r="E1137" t="str">
        <f>VLOOKUP(Summary!M1147,Summary!$P$42:$Q$43,2)</f>
        <v>86</v>
      </c>
      <c r="F1137">
        <f>IF(LEFT(A1137,3)="B60",20,IF(LEFT(A1137,3)="B12",30,25))+B1137*0.5+INT(Summary!M1150*20)</f>
        <v>299</v>
      </c>
      <c r="G1137">
        <f>ROUND(IF(OR(ISERROR(FIND(Summary!$P$89,CONCATENATE(C1137,D1137,E1137))),ISERROR(FIND(Summary!$Q$89,A1137))),Summary!$R$45,IF(H1137&gt;Summary!$V$3,Summary!$R$46,Summary!$R$45))*(B1137+30),0)</f>
        <v>6</v>
      </c>
      <c r="H1137">
        <f>IF(H1136&gt;Summary!$V$4,0,H1136+F1136)</f>
        <v>38712</v>
      </c>
      <c r="I1137" s="26">
        <f>DATE(YEAR(Summary!$V$2),MONTH(Summary!$V$2),DAY(Summary!$V$2)+INT(H1137/480))</f>
        <v>43670</v>
      </c>
      <c r="J1137" s="27">
        <f t="shared" si="18"/>
        <v>0.54999999999999993</v>
      </c>
    </row>
    <row r="1138" spans="1:10">
      <c r="A1138" t="str">
        <f>VLOOKUP(Summary!M1137,Summary!$P$13:$Q$24,2)</f>
        <v>B1700-sky</v>
      </c>
      <c r="B1138">
        <f>ROUND(NORMINV(Summary!M1139,VLOOKUP(A1138,Summary!$Q$13:$S$24,3,FALSE),VLOOKUP(A1138,Summary!$Q$13:$S$24,3,FALSE)/6),-1)</f>
        <v>700</v>
      </c>
      <c r="C1138" t="str">
        <f>IF(AND(H1138=0,C1137=Summary!$P$2),Summary!$Q$2,IF(AND(H1138=0,C1137=Summary!$Q$2),Summary!$R$2,C1137))</f>
        <v>Jared</v>
      </c>
      <c r="D1138" t="str">
        <f>IF(C1138=Summary!$P$26,VLOOKUP(Summary!M1145,Summary!$Q$26:$R$27,2),IF('Run Data'!C1138=Summary!$P$28,VLOOKUP(Summary!M1145,Summary!$Q$28:$R$29,2),VLOOKUP(Summary!M1145,Summary!$Q$30:$R$32,2)))</f>
        <v>Sprig 3</v>
      </c>
      <c r="E1138" t="str">
        <f>VLOOKUP(Summary!M1148,Summary!$P$42:$Q$43,2)</f>
        <v>87b</v>
      </c>
      <c r="F1138">
        <f>IF(LEFT(A1138,3)="B60",20,IF(LEFT(A1138,3)="B12",30,25))+B1138*0.5+INT(Summary!M1151*20)</f>
        <v>383</v>
      </c>
      <c r="G1138">
        <f>ROUND(IF(OR(ISERROR(FIND(Summary!$P$89,CONCATENATE(C1138,D1138,E1138))),ISERROR(FIND(Summary!$Q$89,A1138))),Summary!$R$45,IF(H1138&gt;Summary!$V$3,Summary!$R$46,Summary!$R$45))*(B1138+30),0)</f>
        <v>7</v>
      </c>
      <c r="H1138">
        <f>IF(H1137&gt;Summary!$V$4,0,H1137+F1137)</f>
        <v>39011</v>
      </c>
      <c r="I1138" s="26">
        <f>DATE(YEAR(Summary!$V$2),MONTH(Summary!$V$2),DAY(Summary!$V$2)+INT(H1138/480))</f>
        <v>43671</v>
      </c>
      <c r="J1138" s="27">
        <f t="shared" si="18"/>
        <v>0.42430555555555555</v>
      </c>
    </row>
    <row r="1139" spans="1:10">
      <c r="A1139" t="str">
        <f>VLOOKUP(Summary!M1138,Summary!$P$13:$Q$24,2)</f>
        <v>B1700-sky</v>
      </c>
      <c r="B1139">
        <f>ROUND(NORMINV(Summary!M1140,VLOOKUP(A1139,Summary!$Q$13:$S$24,3,FALSE),VLOOKUP(A1139,Summary!$Q$13:$S$24,3,FALSE)/6),-1)</f>
        <v>540</v>
      </c>
      <c r="C1139" t="str">
        <f>IF(AND(H1139=0,C1138=Summary!$P$2),Summary!$Q$2,IF(AND(H1139=0,C1138=Summary!$Q$2),Summary!$R$2,C1138))</f>
        <v>Jared</v>
      </c>
      <c r="D1139" t="str">
        <f>IF(C1139=Summary!$P$26,VLOOKUP(Summary!M1146,Summary!$Q$26:$R$27,2),IF('Run Data'!C1139=Summary!$P$28,VLOOKUP(Summary!M1146,Summary!$Q$28:$R$29,2),VLOOKUP(Summary!M1146,Summary!$Q$30:$R$32,2)))</f>
        <v>Sprig 2</v>
      </c>
      <c r="E1139" t="str">
        <f>VLOOKUP(Summary!M1149,Summary!$P$42:$Q$43,2)</f>
        <v>86</v>
      </c>
      <c r="F1139">
        <f>IF(LEFT(A1139,3)="B60",20,IF(LEFT(A1139,3)="B12",30,25))+B1139*0.5+INT(Summary!M1152*20)</f>
        <v>305</v>
      </c>
      <c r="G1139">
        <f>ROUND(IF(OR(ISERROR(FIND(Summary!$P$89,CONCATENATE(C1139,D1139,E1139))),ISERROR(FIND(Summary!$Q$89,A1139))),Summary!$R$45,IF(H1139&gt;Summary!$V$3,Summary!$R$46,Summary!$R$45))*(B1139+30),0)</f>
        <v>6</v>
      </c>
      <c r="H1139">
        <f>IF(H1138&gt;Summary!$V$4,0,H1138+F1138)</f>
        <v>39394</v>
      </c>
      <c r="I1139" s="26">
        <f>DATE(YEAR(Summary!$V$2),MONTH(Summary!$V$2),DAY(Summary!$V$2)+INT(H1139/480))</f>
        <v>43672</v>
      </c>
      <c r="J1139" s="27">
        <f t="shared" si="18"/>
        <v>0.35694444444444445</v>
      </c>
    </row>
    <row r="1140" spans="1:10">
      <c r="A1140" t="str">
        <f>VLOOKUP(Summary!M1139,Summary!$P$13:$Q$24,2)</f>
        <v>B1700-lime</v>
      </c>
      <c r="B1140">
        <f>ROUND(NORMINV(Summary!M1141,VLOOKUP(A1140,Summary!$Q$13:$S$24,3,FALSE),VLOOKUP(A1140,Summary!$Q$13:$S$24,3,FALSE)/6),-1)</f>
        <v>310</v>
      </c>
      <c r="C1140" t="str">
        <f>IF(AND(H1140=0,C1139=Summary!$P$2),Summary!$Q$2,IF(AND(H1140=0,C1139=Summary!$Q$2),Summary!$R$2,C1139))</f>
        <v>Jared</v>
      </c>
      <c r="D1140" t="str">
        <f>IF(C1140=Summary!$P$26,VLOOKUP(Summary!M1147,Summary!$Q$26:$R$27,2),IF('Run Data'!C1140=Summary!$P$28,VLOOKUP(Summary!M1147,Summary!$Q$28:$R$29,2),VLOOKUP(Summary!M1147,Summary!$Q$30:$R$32,2)))</f>
        <v>Sprig 3</v>
      </c>
      <c r="E1140" t="str">
        <f>VLOOKUP(Summary!M1150,Summary!$P$42:$Q$43,2)</f>
        <v>86</v>
      </c>
      <c r="F1140">
        <f>IF(LEFT(A1140,3)="B60",20,IF(LEFT(A1140,3)="B12",30,25))+B1140*0.5+INT(Summary!M1153*20)</f>
        <v>191</v>
      </c>
      <c r="G1140">
        <f>ROUND(IF(OR(ISERROR(FIND(Summary!$P$89,CONCATENATE(C1140,D1140,E1140))),ISERROR(FIND(Summary!$Q$89,A1140))),Summary!$R$45,IF(H1140&gt;Summary!$V$3,Summary!$R$46,Summary!$R$45))*(B1140+30),0)</f>
        <v>3</v>
      </c>
      <c r="H1140">
        <f>IF(H1139&gt;Summary!$V$4,0,H1139+F1139)</f>
        <v>39699</v>
      </c>
      <c r="I1140" s="26">
        <f>DATE(YEAR(Summary!$V$2),MONTH(Summary!$V$2),DAY(Summary!$V$2)+INT(H1140/480))</f>
        <v>43672</v>
      </c>
      <c r="J1140" s="27">
        <f t="shared" si="18"/>
        <v>0.56874999999999998</v>
      </c>
    </row>
    <row r="1141" spans="1:10">
      <c r="A1141" t="str">
        <f>VLOOKUP(Summary!M1140,Summary!$P$13:$Q$24,2)</f>
        <v>B1200-fire</v>
      </c>
      <c r="B1141">
        <f>ROUND(NORMINV(Summary!M1142,VLOOKUP(A1141,Summary!$Q$13:$S$24,3,FALSE),VLOOKUP(A1141,Summary!$Q$13:$S$24,3,FALSE)/6),-1)</f>
        <v>1310</v>
      </c>
      <c r="C1141" t="str">
        <f>IF(AND(H1141=0,C1140=Summary!$P$2),Summary!$Q$2,IF(AND(H1141=0,C1140=Summary!$Q$2),Summary!$R$2,C1140))</f>
        <v>Jared</v>
      </c>
      <c r="D1141" t="str">
        <f>IF(C1141=Summary!$P$26,VLOOKUP(Summary!M1148,Summary!$Q$26:$R$27,2),IF('Run Data'!C1141=Summary!$P$28,VLOOKUP(Summary!M1148,Summary!$Q$28:$R$29,2),VLOOKUP(Summary!M1148,Summary!$Q$30:$R$32,2)))</f>
        <v>Sprig 3</v>
      </c>
      <c r="E1141" t="str">
        <f>VLOOKUP(Summary!M1151,Summary!$P$42:$Q$43,2)</f>
        <v>86</v>
      </c>
      <c r="F1141">
        <f>IF(LEFT(A1141,3)="B60",20,IF(LEFT(A1141,3)="B12",30,25))+B1141*0.5+INT(Summary!M1154*20)</f>
        <v>687</v>
      </c>
      <c r="G1141">
        <f>ROUND(IF(OR(ISERROR(FIND(Summary!$P$89,CONCATENATE(C1141,D1141,E1141))),ISERROR(FIND(Summary!$Q$89,A1141))),Summary!$R$45,IF(H1141&gt;Summary!$V$3,Summary!$R$46,Summary!$R$45))*(B1141+30),0)</f>
        <v>13</v>
      </c>
      <c r="H1141">
        <f>IF(H1140&gt;Summary!$V$4,0,H1140+F1140)</f>
        <v>39890</v>
      </c>
      <c r="I1141" s="26">
        <f>DATE(YEAR(Summary!$V$2),MONTH(Summary!$V$2),DAY(Summary!$V$2)+INT(H1141/480))</f>
        <v>43673</v>
      </c>
      <c r="J1141" s="27">
        <f t="shared" si="18"/>
        <v>0.36805555555555558</v>
      </c>
    </row>
    <row r="1142" spans="1:10">
      <c r="A1142" t="str">
        <f>VLOOKUP(Summary!M1141,Summary!$P$13:$Q$24,2)</f>
        <v>B600-sky</v>
      </c>
      <c r="B1142">
        <f>ROUND(NORMINV(Summary!M1143,VLOOKUP(A1142,Summary!$Q$13:$S$24,3,FALSE),VLOOKUP(A1142,Summary!$Q$13:$S$24,3,FALSE)/6),-1)</f>
        <v>480</v>
      </c>
      <c r="C1142" t="str">
        <f>IF(AND(H1142=0,C1141=Summary!$P$2),Summary!$Q$2,IF(AND(H1142=0,C1141=Summary!$Q$2),Summary!$R$2,C1141))</f>
        <v>Jared</v>
      </c>
      <c r="D1142" t="str">
        <f>IF(C1142=Summary!$P$26,VLOOKUP(Summary!M1149,Summary!$Q$26:$R$27,2),IF('Run Data'!C1142=Summary!$P$28,VLOOKUP(Summary!M1149,Summary!$Q$28:$R$29,2),VLOOKUP(Summary!M1149,Summary!$Q$30:$R$32,2)))</f>
        <v>Sprig 3</v>
      </c>
      <c r="E1142" t="str">
        <f>VLOOKUP(Summary!M1152,Summary!$P$42:$Q$43,2)</f>
        <v>86</v>
      </c>
      <c r="F1142">
        <f>IF(LEFT(A1142,3)="B60",20,IF(LEFT(A1142,3)="B12",30,25))+B1142*0.5+INT(Summary!M1155*20)</f>
        <v>275</v>
      </c>
      <c r="G1142">
        <f>ROUND(IF(OR(ISERROR(FIND(Summary!$P$89,CONCATENATE(C1142,D1142,E1142))),ISERROR(FIND(Summary!$Q$89,A1142))),Summary!$R$45,IF(H1142&gt;Summary!$V$3,Summary!$R$46,Summary!$R$45))*(B1142+30),0)</f>
        <v>5</v>
      </c>
      <c r="H1142">
        <f>IF(H1141&gt;Summary!$V$4,0,H1141+F1141)</f>
        <v>40577</v>
      </c>
      <c r="I1142" s="26">
        <f>DATE(YEAR(Summary!$V$2),MONTH(Summary!$V$2),DAY(Summary!$V$2)+INT(H1142/480))</f>
        <v>43674</v>
      </c>
      <c r="J1142" s="27">
        <f t="shared" si="18"/>
        <v>0.51180555555555551</v>
      </c>
    </row>
    <row r="1143" spans="1:10">
      <c r="A1143" t="str">
        <f>VLOOKUP(Summary!M1142,Summary!$P$13:$Q$24,2)</f>
        <v>B1700-plum</v>
      </c>
      <c r="B1143">
        <f>ROUND(NORMINV(Summary!M1144,VLOOKUP(A1143,Summary!$Q$13:$S$24,3,FALSE),VLOOKUP(A1143,Summary!$Q$13:$S$24,3,FALSE)/6),-1)</f>
        <v>240</v>
      </c>
      <c r="C1143" t="str">
        <f>IF(AND(H1143=0,C1142=Summary!$P$2),Summary!$Q$2,IF(AND(H1143=0,C1142=Summary!$Q$2),Summary!$R$2,C1142))</f>
        <v>Jared</v>
      </c>
      <c r="D1143" t="str">
        <f>IF(C1143=Summary!$P$26,VLOOKUP(Summary!M1150,Summary!$Q$26:$R$27,2),IF('Run Data'!C1143=Summary!$P$28,VLOOKUP(Summary!M1150,Summary!$Q$28:$R$29,2),VLOOKUP(Summary!M1150,Summary!$Q$30:$R$32,2)))</f>
        <v>Sprig 2</v>
      </c>
      <c r="E1143" t="str">
        <f>VLOOKUP(Summary!M1153,Summary!$P$42:$Q$43,2)</f>
        <v>86</v>
      </c>
      <c r="F1143">
        <f>IF(LEFT(A1143,3)="B60",20,IF(LEFT(A1143,3)="B12",30,25))+B1143*0.5+INT(Summary!M1156*20)</f>
        <v>160</v>
      </c>
      <c r="G1143">
        <f>ROUND(IF(OR(ISERROR(FIND(Summary!$P$89,CONCATENATE(C1143,D1143,E1143))),ISERROR(FIND(Summary!$Q$89,A1143))),Summary!$R$45,IF(H1143&gt;Summary!$V$3,Summary!$R$46,Summary!$R$45))*(B1143+30),0)</f>
        <v>3</v>
      </c>
      <c r="H1143">
        <f>IF(H1142&gt;Summary!$V$4,0,H1142+F1142)</f>
        <v>40852</v>
      </c>
      <c r="I1143" s="26">
        <f>DATE(YEAR(Summary!$V$2),MONTH(Summary!$V$2),DAY(Summary!$V$2)+INT(H1143/480))</f>
        <v>43675</v>
      </c>
      <c r="J1143" s="27">
        <f t="shared" si="18"/>
        <v>0.36944444444444446</v>
      </c>
    </row>
    <row r="1144" spans="1:10">
      <c r="A1144" t="str">
        <f>VLOOKUP(Summary!M1143,Summary!$P$13:$Q$24,2)</f>
        <v>B1200-sky</v>
      </c>
      <c r="B1144">
        <f>ROUND(NORMINV(Summary!M1145,VLOOKUP(A1144,Summary!$Q$13:$S$24,3,FALSE),VLOOKUP(A1144,Summary!$Q$13:$S$24,3,FALSE)/6),-1)</f>
        <v>1540</v>
      </c>
      <c r="C1144" t="str">
        <f>IF(AND(H1144=0,C1143=Summary!$P$2),Summary!$Q$2,IF(AND(H1144=0,C1143=Summary!$Q$2),Summary!$R$2,C1143))</f>
        <v>Jared</v>
      </c>
      <c r="D1144" t="str">
        <f>IF(C1144=Summary!$P$26,VLOOKUP(Summary!M1151,Summary!$Q$26:$R$27,2),IF('Run Data'!C1144=Summary!$P$28,VLOOKUP(Summary!M1151,Summary!$Q$28:$R$29,2),VLOOKUP(Summary!M1151,Summary!$Q$30:$R$32,2)))</f>
        <v>Sprig 2</v>
      </c>
      <c r="E1144" t="str">
        <f>VLOOKUP(Summary!M1154,Summary!$P$42:$Q$43,2)</f>
        <v>86</v>
      </c>
      <c r="F1144">
        <f>IF(LEFT(A1144,3)="B60",20,IF(LEFT(A1144,3)="B12",30,25))+B1144*0.5+INT(Summary!M1157*20)</f>
        <v>809</v>
      </c>
      <c r="G1144">
        <f>ROUND(IF(OR(ISERROR(FIND(Summary!$P$89,CONCATENATE(C1144,D1144,E1144))),ISERROR(FIND(Summary!$Q$89,A1144))),Summary!$R$45,IF(H1144&gt;Summary!$V$3,Summary!$R$46,Summary!$R$45))*(B1144+30),0)</f>
        <v>16</v>
      </c>
      <c r="H1144">
        <f>IF(H1143&gt;Summary!$V$4,0,H1143+F1143)</f>
        <v>41012</v>
      </c>
      <c r="I1144" s="26">
        <f>DATE(YEAR(Summary!$V$2),MONTH(Summary!$V$2),DAY(Summary!$V$2)+INT(H1144/480))</f>
        <v>43675</v>
      </c>
      <c r="J1144" s="27">
        <f t="shared" si="18"/>
        <v>0.48055555555555557</v>
      </c>
    </row>
    <row r="1145" spans="1:10">
      <c r="A1145" t="str">
        <f>VLOOKUP(Summary!M1144,Summary!$P$13:$Q$24,2)</f>
        <v>B600-fire</v>
      </c>
      <c r="B1145">
        <f>ROUND(NORMINV(Summary!M1146,VLOOKUP(A1145,Summary!$Q$13:$S$24,3,FALSE),VLOOKUP(A1145,Summary!$Q$13:$S$24,3,FALSE)/6),-1)</f>
        <v>390</v>
      </c>
      <c r="C1145" t="str">
        <f>IF(AND(H1145=0,C1144=Summary!$P$2),Summary!$Q$2,IF(AND(H1145=0,C1144=Summary!$Q$2),Summary!$R$2,C1144))</f>
        <v>Jared</v>
      </c>
      <c r="D1145" t="str">
        <f>IF(C1145=Summary!$P$26,VLOOKUP(Summary!M1152,Summary!$Q$26:$R$27,2),IF('Run Data'!C1145=Summary!$P$28,VLOOKUP(Summary!M1152,Summary!$Q$28:$R$29,2),VLOOKUP(Summary!M1152,Summary!$Q$30:$R$32,2)))</f>
        <v>Sprig 2</v>
      </c>
      <c r="E1145" t="str">
        <f>VLOOKUP(Summary!M1155,Summary!$P$42:$Q$43,2)</f>
        <v>86</v>
      </c>
      <c r="F1145">
        <f>IF(LEFT(A1145,3)="B60",20,IF(LEFT(A1145,3)="B12",30,25))+B1145*0.5+INT(Summary!M1158*20)</f>
        <v>228</v>
      </c>
      <c r="G1145">
        <f>ROUND(IF(OR(ISERROR(FIND(Summary!$P$89,CONCATENATE(C1145,D1145,E1145))),ISERROR(FIND(Summary!$Q$89,A1145))),Summary!$R$45,IF(H1145&gt;Summary!$V$3,Summary!$R$46,Summary!$R$45))*(B1145+30),0)</f>
        <v>4</v>
      </c>
      <c r="H1145">
        <f>IF(H1144&gt;Summary!$V$4,0,H1144+F1144)</f>
        <v>41821</v>
      </c>
      <c r="I1145" s="26">
        <f>DATE(YEAR(Summary!$V$2),MONTH(Summary!$V$2),DAY(Summary!$V$2)+INT(H1145/480))</f>
        <v>43677</v>
      </c>
      <c r="J1145" s="27">
        <f t="shared" si="18"/>
        <v>0.3756944444444445</v>
      </c>
    </row>
    <row r="1146" spans="1:10">
      <c r="A1146" t="str">
        <f>VLOOKUP(Summary!M1145,Summary!$P$13:$Q$24,2)</f>
        <v>B1700-lime</v>
      </c>
      <c r="B1146">
        <f>ROUND(NORMINV(Summary!M1147,VLOOKUP(A1146,Summary!$Q$13:$S$24,3,FALSE),VLOOKUP(A1146,Summary!$Q$13:$S$24,3,FALSE)/6),-1)</f>
        <v>450</v>
      </c>
      <c r="C1146" t="str">
        <f>IF(AND(H1146=0,C1145=Summary!$P$2),Summary!$Q$2,IF(AND(H1146=0,C1145=Summary!$Q$2),Summary!$R$2,C1145))</f>
        <v>Jared</v>
      </c>
      <c r="D1146" t="str">
        <f>IF(C1146=Summary!$P$26,VLOOKUP(Summary!M1153,Summary!$Q$26:$R$27,2),IF('Run Data'!C1146=Summary!$P$28,VLOOKUP(Summary!M1153,Summary!$Q$28:$R$29,2),VLOOKUP(Summary!M1153,Summary!$Q$30:$R$32,2)))</f>
        <v>Sprig 2</v>
      </c>
      <c r="E1146" t="str">
        <f>VLOOKUP(Summary!M1156,Summary!$P$42:$Q$43,2)</f>
        <v>86</v>
      </c>
      <c r="F1146">
        <f>IF(LEFT(A1146,3)="B60",20,IF(LEFT(A1146,3)="B12",30,25))+B1146*0.5+INT(Summary!M1159*20)</f>
        <v>267</v>
      </c>
      <c r="G1146">
        <f>ROUND(IF(OR(ISERROR(FIND(Summary!$P$89,CONCATENATE(C1146,D1146,E1146))),ISERROR(FIND(Summary!$Q$89,A1146))),Summary!$R$45,IF(H1146&gt;Summary!$V$3,Summary!$R$46,Summary!$R$45))*(B1146+30),0)</f>
        <v>5</v>
      </c>
      <c r="H1146">
        <f>IF(H1145&gt;Summary!$V$4,0,H1145+F1145)</f>
        <v>42049</v>
      </c>
      <c r="I1146" s="26">
        <f>DATE(YEAR(Summary!$V$2),MONTH(Summary!$V$2),DAY(Summary!$V$2)+INT(H1146/480))</f>
        <v>43677</v>
      </c>
      <c r="J1146" s="27">
        <f t="shared" si="18"/>
        <v>0.53402777777777777</v>
      </c>
    </row>
    <row r="1147" spans="1:10">
      <c r="A1147" t="str">
        <f>VLOOKUP(Summary!M1146,Summary!$P$13:$Q$24,2)</f>
        <v>B1200-sky</v>
      </c>
      <c r="B1147">
        <f>ROUND(NORMINV(Summary!M1148,VLOOKUP(A1147,Summary!$Q$13:$S$24,3,FALSE),VLOOKUP(A1147,Summary!$Q$13:$S$24,3,FALSE)/6),-1)</f>
        <v>1530</v>
      </c>
      <c r="C1147" t="str">
        <f>IF(AND(H1147=0,C1146=Summary!$P$2),Summary!$Q$2,IF(AND(H1147=0,C1146=Summary!$Q$2),Summary!$R$2,C1146))</f>
        <v>Jared</v>
      </c>
      <c r="D1147" t="str">
        <f>IF(C1147=Summary!$P$26,VLOOKUP(Summary!M1154,Summary!$Q$26:$R$27,2),IF('Run Data'!C1147=Summary!$P$28,VLOOKUP(Summary!M1154,Summary!$Q$28:$R$29,2),VLOOKUP(Summary!M1154,Summary!$Q$30:$R$32,2)))</f>
        <v>Sprig 1</v>
      </c>
      <c r="E1147" t="str">
        <f>VLOOKUP(Summary!M1157,Summary!$P$42:$Q$43,2)</f>
        <v>86</v>
      </c>
      <c r="F1147">
        <f>IF(LEFT(A1147,3)="B60",20,IF(LEFT(A1147,3)="B12",30,25))+B1147*0.5+INT(Summary!M1160*20)</f>
        <v>809</v>
      </c>
      <c r="G1147">
        <f>ROUND(IF(OR(ISERROR(FIND(Summary!$P$89,CONCATENATE(C1147,D1147,E1147))),ISERROR(FIND(Summary!$Q$89,A1147))),Summary!$R$45,IF(H1147&gt;Summary!$V$3,Summary!$R$46,Summary!$R$45))*(B1147+30),0)</f>
        <v>16</v>
      </c>
      <c r="H1147">
        <f>IF(H1146&gt;Summary!$V$4,0,H1146+F1146)</f>
        <v>42316</v>
      </c>
      <c r="I1147" s="26">
        <f>DATE(YEAR(Summary!$V$2),MONTH(Summary!$V$2),DAY(Summary!$V$2)+INT(H1147/480))</f>
        <v>43678</v>
      </c>
      <c r="J1147" s="27">
        <f t="shared" si="18"/>
        <v>0.38611111111111113</v>
      </c>
    </row>
    <row r="1148" spans="1:10">
      <c r="A1148" t="str">
        <f>VLOOKUP(Summary!M1147,Summary!$P$13:$Q$24,2)</f>
        <v>B1700-plum</v>
      </c>
      <c r="B1148">
        <f>ROUND(NORMINV(Summary!M1149,VLOOKUP(A1148,Summary!$Q$13:$S$24,3,FALSE),VLOOKUP(A1148,Summary!$Q$13:$S$24,3,FALSE)/6),-1)</f>
        <v>320</v>
      </c>
      <c r="C1148" t="str">
        <f>IF(AND(H1148=0,C1147=Summary!$P$2),Summary!$Q$2,IF(AND(H1148=0,C1147=Summary!$Q$2),Summary!$R$2,C1147))</f>
        <v>Jared</v>
      </c>
      <c r="D1148" t="str">
        <f>IF(C1148=Summary!$P$26,VLOOKUP(Summary!M1155,Summary!$Q$26:$R$27,2),IF('Run Data'!C1148=Summary!$P$28,VLOOKUP(Summary!M1155,Summary!$Q$28:$R$29,2),VLOOKUP(Summary!M1155,Summary!$Q$30:$R$32,2)))</f>
        <v>Sprig 3</v>
      </c>
      <c r="E1148" t="str">
        <f>VLOOKUP(Summary!M1158,Summary!$P$42:$Q$43,2)</f>
        <v>86</v>
      </c>
      <c r="F1148">
        <f>IF(LEFT(A1148,3)="B60",20,IF(LEFT(A1148,3)="B12",30,25))+B1148*0.5+INT(Summary!M1161*20)</f>
        <v>194</v>
      </c>
      <c r="G1148">
        <f>ROUND(IF(OR(ISERROR(FIND(Summary!$P$89,CONCATENATE(C1148,D1148,E1148))),ISERROR(FIND(Summary!$Q$89,A1148))),Summary!$R$45,IF(H1148&gt;Summary!$V$3,Summary!$R$46,Summary!$R$45))*(B1148+30),0)</f>
        <v>4</v>
      </c>
      <c r="H1148">
        <f>IF(H1147&gt;Summary!$V$4,0,H1147+F1147)</f>
        <v>43125</v>
      </c>
      <c r="I1148" s="26">
        <f>DATE(YEAR(Summary!$V$2),MONTH(Summary!$V$2),DAY(Summary!$V$2)+INT(H1148/480))</f>
        <v>43679</v>
      </c>
      <c r="J1148" s="27">
        <f t="shared" si="18"/>
        <v>0.61458333333333337</v>
      </c>
    </row>
    <row r="1149" spans="1:10">
      <c r="A1149" t="str">
        <f>VLOOKUP(Summary!M1148,Summary!$P$13:$Q$24,2)</f>
        <v>B1700-lime</v>
      </c>
      <c r="B1149">
        <f>ROUND(NORMINV(Summary!M1150,VLOOKUP(A1149,Summary!$Q$13:$S$24,3,FALSE),VLOOKUP(A1149,Summary!$Q$13:$S$24,3,FALSE)/6),-1)</f>
        <v>400</v>
      </c>
      <c r="C1149" t="str">
        <f>IF(AND(H1149=0,C1148=Summary!$P$2),Summary!$Q$2,IF(AND(H1149=0,C1148=Summary!$Q$2),Summary!$R$2,C1148))</f>
        <v>Jared</v>
      </c>
      <c r="D1149" t="str">
        <f>IF(C1149=Summary!$P$26,VLOOKUP(Summary!M1156,Summary!$Q$26:$R$27,2),IF('Run Data'!C1149=Summary!$P$28,VLOOKUP(Summary!M1156,Summary!$Q$28:$R$29,2),VLOOKUP(Summary!M1156,Summary!$Q$30:$R$32,2)))</f>
        <v>Sprig 3</v>
      </c>
      <c r="E1149" t="str">
        <f>VLOOKUP(Summary!M1159,Summary!$P$42:$Q$43,2)</f>
        <v>87b</v>
      </c>
      <c r="F1149">
        <f>IF(LEFT(A1149,3)="B60",20,IF(LEFT(A1149,3)="B12",30,25))+B1149*0.5+INT(Summary!M1162*20)</f>
        <v>225</v>
      </c>
      <c r="G1149">
        <f>ROUND(IF(OR(ISERROR(FIND(Summary!$P$89,CONCATENATE(C1149,D1149,E1149))),ISERROR(FIND(Summary!$Q$89,A1149))),Summary!$R$45,IF(H1149&gt;Summary!$V$3,Summary!$R$46,Summary!$R$45))*(B1149+30),0)</f>
        <v>4</v>
      </c>
      <c r="H1149">
        <f>IF(H1148&gt;Summary!$V$4,0,H1148+F1148)</f>
        <v>43319</v>
      </c>
      <c r="I1149" s="26">
        <f>DATE(YEAR(Summary!$V$2),MONTH(Summary!$V$2),DAY(Summary!$V$2)+INT(H1149/480))</f>
        <v>43680</v>
      </c>
      <c r="J1149" s="27">
        <f t="shared" si="18"/>
        <v>0.41597222222222219</v>
      </c>
    </row>
    <row r="1150" spans="1:10">
      <c r="A1150" t="str">
        <f>VLOOKUP(Summary!M1149,Summary!$P$13:$Q$24,2)</f>
        <v>B1200-lime</v>
      </c>
      <c r="B1150">
        <f>ROUND(NORMINV(Summary!M1151,VLOOKUP(A1150,Summary!$Q$13:$S$24,3,FALSE),VLOOKUP(A1150,Summary!$Q$13:$S$24,3,FALSE)/6),-1)</f>
        <v>770</v>
      </c>
      <c r="C1150" t="str">
        <f>IF(AND(H1150=0,C1149=Summary!$P$2),Summary!$Q$2,IF(AND(H1150=0,C1149=Summary!$Q$2),Summary!$R$2,C1149))</f>
        <v>Jared</v>
      </c>
      <c r="D1150" t="str">
        <f>IF(C1150=Summary!$P$26,VLOOKUP(Summary!M1157,Summary!$Q$26:$R$27,2),IF('Run Data'!C1150=Summary!$P$28,VLOOKUP(Summary!M1157,Summary!$Q$28:$R$29,2),VLOOKUP(Summary!M1157,Summary!$Q$30:$R$32,2)))</f>
        <v>Sprig 2</v>
      </c>
      <c r="E1150" t="str">
        <f>VLOOKUP(Summary!M1160,Summary!$P$42:$Q$43,2)</f>
        <v>86</v>
      </c>
      <c r="F1150">
        <f>IF(LEFT(A1150,3)="B60",20,IF(LEFT(A1150,3)="B12",30,25))+B1150*0.5+INT(Summary!M1163*20)</f>
        <v>422</v>
      </c>
      <c r="G1150">
        <f>ROUND(IF(OR(ISERROR(FIND(Summary!$P$89,CONCATENATE(C1150,D1150,E1150))),ISERROR(FIND(Summary!$Q$89,A1150))),Summary!$R$45,IF(H1150&gt;Summary!$V$3,Summary!$R$46,Summary!$R$45))*(B1150+30),0)</f>
        <v>8</v>
      </c>
      <c r="H1150">
        <f>IF(H1149&gt;Summary!$V$4,0,H1149+F1149)</f>
        <v>43544</v>
      </c>
      <c r="I1150" s="26">
        <f>DATE(YEAR(Summary!$V$2),MONTH(Summary!$V$2),DAY(Summary!$V$2)+INT(H1150/480))</f>
        <v>43680</v>
      </c>
      <c r="J1150" s="27">
        <f t="shared" si="18"/>
        <v>0.57222222222222219</v>
      </c>
    </row>
    <row r="1151" spans="1:10">
      <c r="A1151" t="str">
        <f>VLOOKUP(Summary!M1150,Summary!$P$13:$Q$24,2)</f>
        <v>B1200-fire</v>
      </c>
      <c r="B1151">
        <f>ROUND(NORMINV(Summary!M1152,VLOOKUP(A1151,Summary!$Q$13:$S$24,3,FALSE),VLOOKUP(A1151,Summary!$Q$13:$S$24,3,FALSE)/6),-1)</f>
        <v>1210</v>
      </c>
      <c r="C1151" t="str">
        <f>IF(AND(H1151=0,C1150=Summary!$P$2),Summary!$Q$2,IF(AND(H1151=0,C1150=Summary!$Q$2),Summary!$R$2,C1150))</f>
        <v>Jared</v>
      </c>
      <c r="D1151" t="str">
        <f>IF(C1151=Summary!$P$26,VLOOKUP(Summary!M1158,Summary!$Q$26:$R$27,2),IF('Run Data'!C1151=Summary!$P$28,VLOOKUP(Summary!M1158,Summary!$Q$28:$R$29,2),VLOOKUP(Summary!M1158,Summary!$Q$30:$R$32,2)))</f>
        <v>Sprig 3</v>
      </c>
      <c r="E1151" t="str">
        <f>VLOOKUP(Summary!M1161,Summary!$P$42:$Q$43,2)</f>
        <v>86</v>
      </c>
      <c r="F1151">
        <f>IF(LEFT(A1151,3)="B60",20,IF(LEFT(A1151,3)="B12",30,25))+B1151*0.5+INT(Summary!M1164*20)</f>
        <v>635</v>
      </c>
      <c r="G1151">
        <f>ROUND(IF(OR(ISERROR(FIND(Summary!$P$89,CONCATENATE(C1151,D1151,E1151))),ISERROR(FIND(Summary!$Q$89,A1151))),Summary!$R$45,IF(H1151&gt;Summary!$V$3,Summary!$R$46,Summary!$R$45))*(B1151+30),0)</f>
        <v>12</v>
      </c>
      <c r="H1151">
        <f>IF(H1150&gt;Summary!$V$4,0,H1150+F1150)</f>
        <v>43966</v>
      </c>
      <c r="I1151" s="26">
        <f>DATE(YEAR(Summary!$V$2),MONTH(Summary!$V$2),DAY(Summary!$V$2)+INT(H1151/480))</f>
        <v>43681</v>
      </c>
      <c r="J1151" s="27">
        <f t="shared" si="18"/>
        <v>0.53194444444444444</v>
      </c>
    </row>
    <row r="1152" spans="1:10">
      <c r="A1152" t="str">
        <f>VLOOKUP(Summary!M1151,Summary!$P$13:$Q$24,2)</f>
        <v>B1200-sky</v>
      </c>
      <c r="B1152">
        <f>ROUND(NORMINV(Summary!M1153,VLOOKUP(A1152,Summary!$Q$13:$S$24,3,FALSE),VLOOKUP(A1152,Summary!$Q$13:$S$24,3,FALSE)/6),-1)</f>
        <v>1230</v>
      </c>
      <c r="C1152" t="str">
        <f>IF(AND(H1152=0,C1151=Summary!$P$2),Summary!$Q$2,IF(AND(H1152=0,C1151=Summary!$Q$2),Summary!$R$2,C1151))</f>
        <v>Jared</v>
      </c>
      <c r="D1152" t="str">
        <f>IF(C1152=Summary!$P$26,VLOOKUP(Summary!M1159,Summary!$Q$26:$R$27,2),IF('Run Data'!C1152=Summary!$P$28,VLOOKUP(Summary!M1159,Summary!$Q$28:$R$29,2),VLOOKUP(Summary!M1159,Summary!$Q$30:$R$32,2)))</f>
        <v>Sprig 3</v>
      </c>
      <c r="E1152" t="str">
        <f>VLOOKUP(Summary!M1162,Summary!$P$42:$Q$43,2)</f>
        <v>86</v>
      </c>
      <c r="F1152">
        <f>IF(LEFT(A1152,3)="B60",20,IF(LEFT(A1152,3)="B12",30,25))+B1152*0.5+INT(Summary!M1165*20)</f>
        <v>661</v>
      </c>
      <c r="G1152">
        <f>ROUND(IF(OR(ISERROR(FIND(Summary!$P$89,CONCATENATE(C1152,D1152,E1152))),ISERROR(FIND(Summary!$Q$89,A1152))),Summary!$R$45,IF(H1152&gt;Summary!$V$3,Summary!$R$46,Summary!$R$45))*(B1152+30),0)</f>
        <v>13</v>
      </c>
      <c r="H1152">
        <f>IF(H1151&gt;Summary!$V$4,0,H1151+F1151)</f>
        <v>44601</v>
      </c>
      <c r="I1152" s="26">
        <f>DATE(YEAR(Summary!$V$2),MONTH(Summary!$V$2),DAY(Summary!$V$2)+INT(H1152/480))</f>
        <v>43682</v>
      </c>
      <c r="J1152" s="27">
        <f t="shared" si="18"/>
        <v>0.63958333333333328</v>
      </c>
    </row>
    <row r="1153" spans="1:10">
      <c r="A1153" t="str">
        <f>VLOOKUP(Summary!M1152,Summary!$P$13:$Q$24,2)</f>
        <v>B1200-fire</v>
      </c>
      <c r="B1153">
        <f>ROUND(NORMINV(Summary!M1154,VLOOKUP(A1153,Summary!$Q$13:$S$24,3,FALSE),VLOOKUP(A1153,Summary!$Q$13:$S$24,3,FALSE)/6),-1)</f>
        <v>980</v>
      </c>
      <c r="C1153" t="str">
        <f>IF(AND(H1153=0,C1152=Summary!$P$2),Summary!$Q$2,IF(AND(H1153=0,C1152=Summary!$Q$2),Summary!$R$2,C1152))</f>
        <v>Jared</v>
      </c>
      <c r="D1153" t="str">
        <f>IF(C1153=Summary!$P$26,VLOOKUP(Summary!M1160,Summary!$Q$26:$R$27,2),IF('Run Data'!C1153=Summary!$P$28,VLOOKUP(Summary!M1160,Summary!$Q$28:$R$29,2),VLOOKUP(Summary!M1160,Summary!$Q$30:$R$32,2)))</f>
        <v>Sprig 3</v>
      </c>
      <c r="E1153" t="str">
        <f>VLOOKUP(Summary!M1163,Summary!$P$42:$Q$43,2)</f>
        <v>86</v>
      </c>
      <c r="F1153">
        <f>IF(LEFT(A1153,3)="B60",20,IF(LEFT(A1153,3)="B12",30,25))+B1153*0.5+INT(Summary!M1166*20)</f>
        <v>521</v>
      </c>
      <c r="G1153">
        <f>ROUND(IF(OR(ISERROR(FIND(Summary!$P$89,CONCATENATE(C1153,D1153,E1153))),ISERROR(FIND(Summary!$Q$89,A1153))),Summary!$R$45,IF(H1153&gt;Summary!$V$3,Summary!$R$46,Summary!$R$45))*(B1153+30),0)</f>
        <v>10</v>
      </c>
      <c r="H1153">
        <f>IF(H1152&gt;Summary!$V$4,0,H1152+F1152)</f>
        <v>45262</v>
      </c>
      <c r="I1153" s="26">
        <f>DATE(YEAR(Summary!$V$2),MONTH(Summary!$V$2),DAY(Summary!$V$2)+INT(H1153/480))</f>
        <v>43684</v>
      </c>
      <c r="J1153" s="27">
        <f t="shared" si="18"/>
        <v>0.43194444444444446</v>
      </c>
    </row>
    <row r="1154" spans="1:10">
      <c r="A1154" t="str">
        <f>VLOOKUP(Summary!M1153,Summary!$P$13:$Q$24,2)</f>
        <v>B1200-lime</v>
      </c>
      <c r="B1154">
        <f>ROUND(NORMINV(Summary!M1155,VLOOKUP(A1154,Summary!$Q$13:$S$24,3,FALSE),VLOOKUP(A1154,Summary!$Q$13:$S$24,3,FALSE)/6),-1)</f>
        <v>890</v>
      </c>
      <c r="C1154" t="str">
        <f>IF(AND(H1154=0,C1153=Summary!$P$2),Summary!$Q$2,IF(AND(H1154=0,C1153=Summary!$Q$2),Summary!$R$2,C1153))</f>
        <v>Jared</v>
      </c>
      <c r="D1154" t="str">
        <f>IF(C1154=Summary!$P$26,VLOOKUP(Summary!M1161,Summary!$Q$26:$R$27,2),IF('Run Data'!C1154=Summary!$P$28,VLOOKUP(Summary!M1161,Summary!$Q$28:$R$29,2),VLOOKUP(Summary!M1161,Summary!$Q$30:$R$32,2)))</f>
        <v>Sprig 2</v>
      </c>
      <c r="E1154" t="str">
        <f>VLOOKUP(Summary!M1164,Summary!$P$42:$Q$43,2)</f>
        <v>86</v>
      </c>
      <c r="F1154">
        <f>IF(LEFT(A1154,3)="B60",20,IF(LEFT(A1154,3)="B12",30,25))+B1154*0.5+INT(Summary!M1167*20)</f>
        <v>480</v>
      </c>
      <c r="G1154">
        <f>ROUND(IF(OR(ISERROR(FIND(Summary!$P$89,CONCATENATE(C1154,D1154,E1154))),ISERROR(FIND(Summary!$Q$89,A1154))),Summary!$R$45,IF(H1154&gt;Summary!$V$3,Summary!$R$46,Summary!$R$45))*(B1154+30),0)</f>
        <v>9</v>
      </c>
      <c r="H1154">
        <f>IF(H1153&gt;Summary!$V$4,0,H1153+F1153)</f>
        <v>45783</v>
      </c>
      <c r="I1154" s="26">
        <f>DATE(YEAR(Summary!$V$2),MONTH(Summary!$V$2),DAY(Summary!$V$2)+INT(H1154/480))</f>
        <v>43685</v>
      </c>
      <c r="J1154" s="27">
        <f t="shared" si="18"/>
        <v>0.4604166666666667</v>
      </c>
    </row>
    <row r="1155" spans="1:10">
      <c r="A1155" t="str">
        <f>VLOOKUP(Summary!M1154,Summary!$P$13:$Q$24,2)</f>
        <v>B600-fire</v>
      </c>
      <c r="B1155">
        <f>ROUND(NORMINV(Summary!M1156,VLOOKUP(A1155,Summary!$Q$13:$S$24,3,FALSE),VLOOKUP(A1155,Summary!$Q$13:$S$24,3,FALSE)/6),-1)</f>
        <v>450</v>
      </c>
      <c r="C1155" t="str">
        <f>IF(AND(H1155=0,C1154=Summary!$P$2),Summary!$Q$2,IF(AND(H1155=0,C1154=Summary!$Q$2),Summary!$R$2,C1154))</f>
        <v>Jared</v>
      </c>
      <c r="D1155" t="str">
        <f>IF(C1155=Summary!$P$26,VLOOKUP(Summary!M1162,Summary!$Q$26:$R$27,2),IF('Run Data'!C1155=Summary!$P$28,VLOOKUP(Summary!M1162,Summary!$Q$28:$R$29,2),VLOOKUP(Summary!M1162,Summary!$Q$30:$R$32,2)))</f>
        <v>Sprig 1</v>
      </c>
      <c r="E1155" t="str">
        <f>VLOOKUP(Summary!M1165,Summary!$P$42:$Q$43,2)</f>
        <v>86</v>
      </c>
      <c r="F1155">
        <f>IF(LEFT(A1155,3)="B60",20,IF(LEFT(A1155,3)="B12",30,25))+B1155*0.5+INT(Summary!M1168*20)</f>
        <v>263</v>
      </c>
      <c r="G1155">
        <f>ROUND(IF(OR(ISERROR(FIND(Summary!$P$89,CONCATENATE(C1155,D1155,E1155))),ISERROR(FIND(Summary!$Q$89,A1155))),Summary!$R$45,IF(H1155&gt;Summary!$V$3,Summary!$R$46,Summary!$R$45))*(B1155+30),0)</f>
        <v>5</v>
      </c>
      <c r="H1155">
        <f>IF(H1154&gt;Summary!$V$4,0,H1154+F1154)</f>
        <v>46263</v>
      </c>
      <c r="I1155" s="26">
        <f>DATE(YEAR(Summary!$V$2),MONTH(Summary!$V$2),DAY(Summary!$V$2)+INT(H1155/480))</f>
        <v>43686</v>
      </c>
      <c r="J1155" s="27">
        <f t="shared" si="18"/>
        <v>0.4604166666666667</v>
      </c>
    </row>
    <row r="1156" spans="1:10">
      <c r="A1156" t="str">
        <f>VLOOKUP(Summary!M1155,Summary!$P$13:$Q$24,2)</f>
        <v>B1700-plum</v>
      </c>
      <c r="B1156">
        <f>ROUND(NORMINV(Summary!M1157,VLOOKUP(A1156,Summary!$Q$13:$S$24,3,FALSE),VLOOKUP(A1156,Summary!$Q$13:$S$24,3,FALSE)/6),-1)</f>
        <v>300</v>
      </c>
      <c r="C1156" t="str">
        <f>IF(AND(H1156=0,C1155=Summary!$P$2),Summary!$Q$2,IF(AND(H1156=0,C1155=Summary!$Q$2),Summary!$R$2,C1155))</f>
        <v>Jared</v>
      </c>
      <c r="D1156" t="str">
        <f>IF(C1156=Summary!$P$26,VLOOKUP(Summary!M1163,Summary!$Q$26:$R$27,2),IF('Run Data'!C1156=Summary!$P$28,VLOOKUP(Summary!M1163,Summary!$Q$28:$R$29,2),VLOOKUP(Summary!M1163,Summary!$Q$30:$R$32,2)))</f>
        <v>Sprig 2</v>
      </c>
      <c r="E1156" t="str">
        <f>VLOOKUP(Summary!M1166,Summary!$P$42:$Q$43,2)</f>
        <v>86</v>
      </c>
      <c r="F1156">
        <f>IF(LEFT(A1156,3)="B60",20,IF(LEFT(A1156,3)="B12",30,25))+B1156*0.5+INT(Summary!M1169*20)</f>
        <v>184</v>
      </c>
      <c r="G1156">
        <f>ROUND(IF(OR(ISERROR(FIND(Summary!$P$89,CONCATENATE(C1156,D1156,E1156))),ISERROR(FIND(Summary!$Q$89,A1156))),Summary!$R$45,IF(H1156&gt;Summary!$V$3,Summary!$R$46,Summary!$R$45))*(B1156+30),0)</f>
        <v>3</v>
      </c>
      <c r="H1156">
        <f>IF(H1155&gt;Summary!$V$4,0,H1155+F1155)</f>
        <v>46526</v>
      </c>
      <c r="I1156" s="26">
        <f>DATE(YEAR(Summary!$V$2),MONTH(Summary!$V$2),DAY(Summary!$V$2)+INT(H1156/480))</f>
        <v>43686</v>
      </c>
      <c r="J1156" s="27">
        <f t="shared" si="18"/>
        <v>0.6430555555555556</v>
      </c>
    </row>
    <row r="1157" spans="1:10">
      <c r="A1157" t="str">
        <f>VLOOKUP(Summary!M1156,Summary!$P$13:$Q$24,2)</f>
        <v>B1700-plum</v>
      </c>
      <c r="B1157">
        <f>ROUND(NORMINV(Summary!M1158,VLOOKUP(A1157,Summary!$Q$13:$S$24,3,FALSE),VLOOKUP(A1157,Summary!$Q$13:$S$24,3,FALSE)/6),-1)</f>
        <v>320</v>
      </c>
      <c r="C1157" t="str">
        <f>IF(AND(H1157=0,C1156=Summary!$P$2),Summary!$Q$2,IF(AND(H1157=0,C1156=Summary!$Q$2),Summary!$R$2,C1156))</f>
        <v>Jared</v>
      </c>
      <c r="D1157" t="str">
        <f>IF(C1157=Summary!$P$26,VLOOKUP(Summary!M1164,Summary!$Q$26:$R$27,2),IF('Run Data'!C1157=Summary!$P$28,VLOOKUP(Summary!M1164,Summary!$Q$28:$R$29,2),VLOOKUP(Summary!M1164,Summary!$Q$30:$R$32,2)))</f>
        <v>Sprig 1</v>
      </c>
      <c r="E1157" t="str">
        <f>VLOOKUP(Summary!M1167,Summary!$P$42:$Q$43,2)</f>
        <v>86</v>
      </c>
      <c r="F1157">
        <f>IF(LEFT(A1157,3)="B60",20,IF(LEFT(A1157,3)="B12",30,25))+B1157*0.5+INT(Summary!M1170*20)</f>
        <v>194</v>
      </c>
      <c r="G1157">
        <f>ROUND(IF(OR(ISERROR(FIND(Summary!$P$89,CONCATENATE(C1157,D1157,E1157))),ISERROR(FIND(Summary!$Q$89,A1157))),Summary!$R$45,IF(H1157&gt;Summary!$V$3,Summary!$R$46,Summary!$R$45))*(B1157+30),0)</f>
        <v>4</v>
      </c>
      <c r="H1157">
        <f>IF(H1156&gt;Summary!$V$4,0,H1156+F1156)</f>
        <v>46710</v>
      </c>
      <c r="I1157" s="26">
        <f>DATE(YEAR(Summary!$V$2),MONTH(Summary!$V$2),DAY(Summary!$V$2)+INT(H1157/480))</f>
        <v>43687</v>
      </c>
      <c r="J1157" s="27">
        <f t="shared" si="18"/>
        <v>0.4375</v>
      </c>
    </row>
    <row r="1158" spans="1:10">
      <c r="A1158" t="str">
        <f>VLOOKUP(Summary!M1157,Summary!$P$13:$Q$24,2)</f>
        <v>B1200-fire</v>
      </c>
      <c r="B1158">
        <f>ROUND(NORMINV(Summary!M1159,VLOOKUP(A1158,Summary!$Q$13:$S$24,3,FALSE),VLOOKUP(A1158,Summary!$Q$13:$S$24,3,FALSE)/6),-1)</f>
        <v>1410</v>
      </c>
      <c r="C1158" t="str">
        <f>IF(AND(H1158=0,C1157=Summary!$P$2),Summary!$Q$2,IF(AND(H1158=0,C1157=Summary!$Q$2),Summary!$R$2,C1157))</f>
        <v>Jared</v>
      </c>
      <c r="D1158" t="str">
        <f>IF(C1158=Summary!$P$26,VLOOKUP(Summary!M1165,Summary!$Q$26:$R$27,2),IF('Run Data'!C1158=Summary!$P$28,VLOOKUP(Summary!M1165,Summary!$Q$28:$R$29,2),VLOOKUP(Summary!M1165,Summary!$Q$30:$R$32,2)))</f>
        <v>Sprig 3</v>
      </c>
      <c r="E1158" t="str">
        <f>VLOOKUP(Summary!M1168,Summary!$P$42:$Q$43,2)</f>
        <v>87b</v>
      </c>
      <c r="F1158">
        <f>IF(LEFT(A1158,3)="B60",20,IF(LEFT(A1158,3)="B12",30,25))+B1158*0.5+INT(Summary!M1171*20)</f>
        <v>743</v>
      </c>
      <c r="G1158">
        <f>ROUND(IF(OR(ISERROR(FIND(Summary!$P$89,CONCATENATE(C1158,D1158,E1158))),ISERROR(FIND(Summary!$Q$89,A1158))),Summary!$R$45,IF(H1158&gt;Summary!$V$3,Summary!$R$46,Summary!$R$45))*(B1158+30),0)</f>
        <v>14</v>
      </c>
      <c r="H1158">
        <f>IF(H1157&gt;Summary!$V$4,0,H1157+F1157)</f>
        <v>46904</v>
      </c>
      <c r="I1158" s="26">
        <f>DATE(YEAR(Summary!$V$2),MONTH(Summary!$V$2),DAY(Summary!$V$2)+INT(H1158/480))</f>
        <v>43687</v>
      </c>
      <c r="J1158" s="27">
        <f t="shared" si="18"/>
        <v>0.57222222222222219</v>
      </c>
    </row>
    <row r="1159" spans="1:10">
      <c r="A1159" t="str">
        <f>VLOOKUP(Summary!M1158,Summary!$P$13:$Q$24,2)</f>
        <v>B1200-lime</v>
      </c>
      <c r="B1159">
        <f>ROUND(NORMINV(Summary!M1160,VLOOKUP(A1159,Summary!$Q$13:$S$24,3,FALSE),VLOOKUP(A1159,Summary!$Q$13:$S$24,3,FALSE)/6),-1)</f>
        <v>880</v>
      </c>
      <c r="C1159" t="str">
        <f>IF(AND(H1159=0,C1158=Summary!$P$2),Summary!$Q$2,IF(AND(H1159=0,C1158=Summary!$Q$2),Summary!$R$2,C1158))</f>
        <v>Jared</v>
      </c>
      <c r="D1159" t="str">
        <f>IF(C1159=Summary!$P$26,VLOOKUP(Summary!M1166,Summary!$Q$26:$R$27,2),IF('Run Data'!C1159=Summary!$P$28,VLOOKUP(Summary!M1166,Summary!$Q$28:$R$29,2),VLOOKUP(Summary!M1166,Summary!$Q$30:$R$32,2)))</f>
        <v>Sprig 1</v>
      </c>
      <c r="E1159" t="str">
        <f>VLOOKUP(Summary!M1169,Summary!$P$42:$Q$43,2)</f>
        <v>86</v>
      </c>
      <c r="F1159">
        <f>IF(LEFT(A1159,3)="B60",20,IF(LEFT(A1159,3)="B12",30,25))+B1159*0.5+INT(Summary!M1172*20)</f>
        <v>476</v>
      </c>
      <c r="G1159">
        <f>ROUND(IF(OR(ISERROR(FIND(Summary!$P$89,CONCATENATE(C1159,D1159,E1159))),ISERROR(FIND(Summary!$Q$89,A1159))),Summary!$R$45,IF(H1159&gt;Summary!$V$3,Summary!$R$46,Summary!$R$45))*(B1159+30),0)</f>
        <v>9</v>
      </c>
      <c r="H1159">
        <f>IF(H1158&gt;Summary!$V$4,0,H1158+F1158)</f>
        <v>47647</v>
      </c>
      <c r="I1159" s="26">
        <f>DATE(YEAR(Summary!$V$2),MONTH(Summary!$V$2),DAY(Summary!$V$2)+INT(H1159/480))</f>
        <v>43689</v>
      </c>
      <c r="J1159" s="27">
        <f t="shared" si="18"/>
        <v>0.42152777777777778</v>
      </c>
    </row>
    <row r="1160" spans="1:10">
      <c r="A1160" t="str">
        <f>VLOOKUP(Summary!M1159,Summary!$P$13:$Q$24,2)</f>
        <v>B1700-fire</v>
      </c>
      <c r="B1160">
        <f>ROUND(NORMINV(Summary!M1161,VLOOKUP(A1160,Summary!$Q$13:$S$24,3,FALSE),VLOOKUP(A1160,Summary!$Q$13:$S$24,3,FALSE)/6),-1)</f>
        <v>740</v>
      </c>
      <c r="C1160" t="str">
        <f>IF(AND(H1160=0,C1159=Summary!$P$2),Summary!$Q$2,IF(AND(H1160=0,C1159=Summary!$Q$2),Summary!$R$2,C1159))</f>
        <v>Jared</v>
      </c>
      <c r="D1160" t="str">
        <f>IF(C1160=Summary!$P$26,VLOOKUP(Summary!M1167,Summary!$Q$26:$R$27,2),IF('Run Data'!C1160=Summary!$P$28,VLOOKUP(Summary!M1167,Summary!$Q$28:$R$29,2),VLOOKUP(Summary!M1167,Summary!$Q$30:$R$32,2)))</f>
        <v>Sprig 2</v>
      </c>
      <c r="E1160" t="str">
        <f>VLOOKUP(Summary!M1170,Summary!$P$42:$Q$43,2)</f>
        <v>86</v>
      </c>
      <c r="F1160">
        <f>IF(LEFT(A1160,3)="B60",20,IF(LEFT(A1160,3)="B12",30,25))+B1160*0.5+INT(Summary!M1173*20)</f>
        <v>402</v>
      </c>
      <c r="G1160">
        <f>ROUND(IF(OR(ISERROR(FIND(Summary!$P$89,CONCATENATE(C1160,D1160,E1160))),ISERROR(FIND(Summary!$Q$89,A1160))),Summary!$R$45,IF(H1160&gt;Summary!$V$3,Summary!$R$46,Summary!$R$45))*(B1160+30),0)</f>
        <v>92</v>
      </c>
      <c r="H1160">
        <f>IF(H1159&gt;Summary!$V$4,0,H1159+F1159)</f>
        <v>48123</v>
      </c>
      <c r="I1160" s="26">
        <f>DATE(YEAR(Summary!$V$2),MONTH(Summary!$V$2),DAY(Summary!$V$2)+INT(H1160/480))</f>
        <v>43690</v>
      </c>
      <c r="J1160" s="27">
        <f t="shared" si="18"/>
        <v>0.41875000000000001</v>
      </c>
    </row>
    <row r="1161" spans="1:10">
      <c r="A1161" t="str">
        <f>VLOOKUP(Summary!M1160,Summary!$P$13:$Q$24,2)</f>
        <v>B1700-plum</v>
      </c>
      <c r="B1161">
        <f>ROUND(NORMINV(Summary!M1162,VLOOKUP(A1161,Summary!$Q$13:$S$24,3,FALSE),VLOOKUP(A1161,Summary!$Q$13:$S$24,3,FALSE)/6),-1)</f>
        <v>210</v>
      </c>
      <c r="C1161" t="str">
        <f>IF(AND(H1161=0,C1160=Summary!$P$2),Summary!$Q$2,IF(AND(H1161=0,C1160=Summary!$Q$2),Summary!$R$2,C1160))</f>
        <v>Jared</v>
      </c>
      <c r="D1161" t="str">
        <f>IF(C1161=Summary!$P$26,VLOOKUP(Summary!M1168,Summary!$Q$26:$R$27,2),IF('Run Data'!C1161=Summary!$P$28,VLOOKUP(Summary!M1168,Summary!$Q$28:$R$29,2),VLOOKUP(Summary!M1168,Summary!$Q$30:$R$32,2)))</f>
        <v>Sprig 3</v>
      </c>
      <c r="E1161" t="str">
        <f>VLOOKUP(Summary!M1171,Summary!$P$42:$Q$43,2)</f>
        <v>86</v>
      </c>
      <c r="F1161">
        <f>IF(LEFT(A1161,3)="B60",20,IF(LEFT(A1161,3)="B12",30,25))+B1161*0.5+INT(Summary!M1174*20)</f>
        <v>141</v>
      </c>
      <c r="G1161">
        <f>ROUND(IF(OR(ISERROR(FIND(Summary!$P$89,CONCATENATE(C1161,D1161,E1161))),ISERROR(FIND(Summary!$Q$89,A1161))),Summary!$R$45,IF(H1161&gt;Summary!$V$3,Summary!$R$46,Summary!$R$45))*(B1161+30),0)</f>
        <v>29</v>
      </c>
      <c r="H1161">
        <f>IF(H1160&gt;Summary!$V$4,0,H1160+F1160)</f>
        <v>48525</v>
      </c>
      <c r="I1161" s="26">
        <f>DATE(YEAR(Summary!$V$2),MONTH(Summary!$V$2),DAY(Summary!$V$2)+INT(H1161/480))</f>
        <v>43691</v>
      </c>
      <c r="J1161" s="27">
        <f t="shared" si="18"/>
        <v>0.36458333333333331</v>
      </c>
    </row>
    <row r="1162" spans="1:10">
      <c r="A1162" t="str">
        <f>VLOOKUP(Summary!M1161,Summary!$P$13:$Q$24,2)</f>
        <v>B1200-fire</v>
      </c>
      <c r="B1162">
        <f>ROUND(NORMINV(Summary!M1163,VLOOKUP(A1162,Summary!$Q$13:$S$24,3,FALSE),VLOOKUP(A1162,Summary!$Q$13:$S$24,3,FALSE)/6),-1)</f>
        <v>1130</v>
      </c>
      <c r="C1162" t="str">
        <f>IF(AND(H1162=0,C1161=Summary!$P$2),Summary!$Q$2,IF(AND(H1162=0,C1161=Summary!$Q$2),Summary!$R$2,C1161))</f>
        <v>Jared</v>
      </c>
      <c r="D1162" t="str">
        <f>IF(C1162=Summary!$P$26,VLOOKUP(Summary!M1169,Summary!$Q$26:$R$27,2),IF('Run Data'!C1162=Summary!$P$28,VLOOKUP(Summary!M1169,Summary!$Q$28:$R$29,2),VLOOKUP(Summary!M1169,Summary!$Q$30:$R$32,2)))</f>
        <v>Sprig 2</v>
      </c>
      <c r="E1162" t="str">
        <f>VLOOKUP(Summary!M1172,Summary!$P$42:$Q$43,2)</f>
        <v>86</v>
      </c>
      <c r="F1162">
        <f>IF(LEFT(A1162,3)="B60",20,IF(LEFT(A1162,3)="B12",30,25))+B1162*0.5+INT(Summary!M1175*20)</f>
        <v>603</v>
      </c>
      <c r="G1162">
        <f>ROUND(IF(OR(ISERROR(FIND(Summary!$P$89,CONCATENATE(C1162,D1162,E1162))),ISERROR(FIND(Summary!$Q$89,A1162))),Summary!$R$45,IF(H1162&gt;Summary!$V$3,Summary!$R$46,Summary!$R$45))*(B1162+30),0)</f>
        <v>12</v>
      </c>
      <c r="H1162">
        <f>IF(H1161&gt;Summary!$V$4,0,H1161+F1161)</f>
        <v>48666</v>
      </c>
      <c r="I1162" s="26">
        <f>DATE(YEAR(Summary!$V$2),MONTH(Summary!$V$2),DAY(Summary!$V$2)+INT(H1162/480))</f>
        <v>43691</v>
      </c>
      <c r="J1162" s="27">
        <f t="shared" si="18"/>
        <v>0.46249999999999997</v>
      </c>
    </row>
    <row r="1163" spans="1:10">
      <c r="A1163" t="str">
        <f>VLOOKUP(Summary!M1162,Summary!$P$13:$Q$24,2)</f>
        <v>B600-plum</v>
      </c>
      <c r="B1163">
        <f>ROUND(NORMINV(Summary!M1164,VLOOKUP(A1163,Summary!$Q$13:$S$24,3,FALSE),VLOOKUP(A1163,Summary!$Q$13:$S$24,3,FALSE)/6),-1)</f>
        <v>120</v>
      </c>
      <c r="C1163" t="str">
        <f>IF(AND(H1163=0,C1162=Summary!$P$2),Summary!$Q$2,IF(AND(H1163=0,C1162=Summary!$Q$2),Summary!$R$2,C1162))</f>
        <v>Jared</v>
      </c>
      <c r="D1163" t="str">
        <f>IF(C1163=Summary!$P$26,VLOOKUP(Summary!M1170,Summary!$Q$26:$R$27,2),IF('Run Data'!C1163=Summary!$P$28,VLOOKUP(Summary!M1170,Summary!$Q$28:$R$29,2),VLOOKUP(Summary!M1170,Summary!$Q$30:$R$32,2)))</f>
        <v>Sprig 2</v>
      </c>
      <c r="E1163" t="str">
        <f>VLOOKUP(Summary!M1173,Summary!$P$42:$Q$43,2)</f>
        <v>86</v>
      </c>
      <c r="F1163">
        <f>IF(LEFT(A1163,3)="B60",20,IF(LEFT(A1163,3)="B12",30,25))+B1163*0.5+INT(Summary!M1176*20)</f>
        <v>90</v>
      </c>
      <c r="G1163">
        <f>ROUND(IF(OR(ISERROR(FIND(Summary!$P$89,CONCATENATE(C1163,D1163,E1163))),ISERROR(FIND(Summary!$Q$89,A1163))),Summary!$R$45,IF(H1163&gt;Summary!$V$3,Summary!$R$46,Summary!$R$45))*(B1163+30),0)</f>
        <v>2</v>
      </c>
      <c r="H1163">
        <f>IF(H1162&gt;Summary!$V$4,0,H1162+F1162)</f>
        <v>49269</v>
      </c>
      <c r="I1163" s="26">
        <f>DATE(YEAR(Summary!$V$2),MONTH(Summary!$V$2),DAY(Summary!$V$2)+INT(H1163/480))</f>
        <v>43692</v>
      </c>
      <c r="J1163" s="27">
        <f t="shared" si="18"/>
        <v>0.54791666666666672</v>
      </c>
    </row>
    <row r="1164" spans="1:10">
      <c r="A1164" t="str">
        <f>VLOOKUP(Summary!M1163,Summary!$P$13:$Q$24,2)</f>
        <v>B1200-sky</v>
      </c>
      <c r="B1164">
        <f>ROUND(NORMINV(Summary!M1165,VLOOKUP(A1164,Summary!$Q$13:$S$24,3,FALSE),VLOOKUP(A1164,Summary!$Q$13:$S$24,3,FALSE)/6),-1)</f>
        <v>1380</v>
      </c>
      <c r="C1164" t="str">
        <f>IF(AND(H1164=0,C1163=Summary!$P$2),Summary!$Q$2,IF(AND(H1164=0,C1163=Summary!$Q$2),Summary!$R$2,C1163))</f>
        <v>Jared</v>
      </c>
      <c r="D1164" t="str">
        <f>IF(C1164=Summary!$P$26,VLOOKUP(Summary!M1171,Summary!$Q$26:$R$27,2),IF('Run Data'!C1164=Summary!$P$28,VLOOKUP(Summary!M1171,Summary!$Q$28:$R$29,2),VLOOKUP(Summary!M1171,Summary!$Q$30:$R$32,2)))</f>
        <v>Sprig 2</v>
      </c>
      <c r="E1164" t="str">
        <f>VLOOKUP(Summary!M1174,Summary!$P$42:$Q$43,2)</f>
        <v>86</v>
      </c>
      <c r="F1164">
        <f>IF(LEFT(A1164,3)="B60",20,IF(LEFT(A1164,3)="B12",30,25))+B1164*0.5+INT(Summary!M1177*20)</f>
        <v>731</v>
      </c>
      <c r="G1164">
        <f>ROUND(IF(OR(ISERROR(FIND(Summary!$P$89,CONCATENATE(C1164,D1164,E1164))),ISERROR(FIND(Summary!$Q$89,A1164))),Summary!$R$45,IF(H1164&gt;Summary!$V$3,Summary!$R$46,Summary!$R$45))*(B1164+30),0)</f>
        <v>14</v>
      </c>
      <c r="H1164">
        <f>IF(H1163&gt;Summary!$V$4,0,H1163+F1163)</f>
        <v>49359</v>
      </c>
      <c r="I1164" s="26">
        <f>DATE(YEAR(Summary!$V$2),MONTH(Summary!$V$2),DAY(Summary!$V$2)+INT(H1164/480))</f>
        <v>43692</v>
      </c>
      <c r="J1164" s="27">
        <f t="shared" si="18"/>
        <v>0.61041666666666672</v>
      </c>
    </row>
    <row r="1165" spans="1:10">
      <c r="A1165" t="str">
        <f>VLOOKUP(Summary!M1164,Summary!$P$13:$Q$24,2)</f>
        <v>B600-plum</v>
      </c>
      <c r="B1165">
        <f>ROUND(NORMINV(Summary!M1166,VLOOKUP(A1165,Summary!$Q$13:$S$24,3,FALSE),VLOOKUP(A1165,Summary!$Q$13:$S$24,3,FALSE)/6),-1)</f>
        <v>160</v>
      </c>
      <c r="C1165" t="str">
        <f>IF(AND(H1165=0,C1164=Summary!$P$2),Summary!$Q$2,IF(AND(H1165=0,C1164=Summary!$Q$2),Summary!$R$2,C1164))</f>
        <v>Jared</v>
      </c>
      <c r="D1165" t="str">
        <f>IF(C1165=Summary!$P$26,VLOOKUP(Summary!M1172,Summary!$Q$26:$R$27,2),IF('Run Data'!C1165=Summary!$P$28,VLOOKUP(Summary!M1172,Summary!$Q$28:$R$29,2),VLOOKUP(Summary!M1172,Summary!$Q$30:$R$32,2)))</f>
        <v>Sprig 2</v>
      </c>
      <c r="E1165" t="str">
        <f>VLOOKUP(Summary!M1175,Summary!$P$42:$Q$43,2)</f>
        <v>86</v>
      </c>
      <c r="F1165">
        <f>IF(LEFT(A1165,3)="B60",20,IF(LEFT(A1165,3)="B12",30,25))+B1165*0.5+INT(Summary!M1178*20)</f>
        <v>112</v>
      </c>
      <c r="G1165">
        <f>ROUND(IF(OR(ISERROR(FIND(Summary!$P$89,CONCATENATE(C1165,D1165,E1165))),ISERROR(FIND(Summary!$Q$89,A1165))),Summary!$R$45,IF(H1165&gt;Summary!$V$3,Summary!$R$46,Summary!$R$45))*(B1165+30),0)</f>
        <v>2</v>
      </c>
      <c r="H1165">
        <f>IF(H1164&gt;Summary!$V$4,0,H1164+F1164)</f>
        <v>50090</v>
      </c>
      <c r="I1165" s="26">
        <f>DATE(YEAR(Summary!$V$2),MONTH(Summary!$V$2),DAY(Summary!$V$2)+INT(H1165/480))</f>
        <v>43694</v>
      </c>
      <c r="J1165" s="27">
        <f t="shared" si="18"/>
        <v>0.4513888888888889</v>
      </c>
    </row>
    <row r="1166" spans="1:10">
      <c r="A1166" t="str">
        <f>VLOOKUP(Summary!M1165,Summary!$P$13:$Q$24,2)</f>
        <v>B1700-sky</v>
      </c>
      <c r="B1166">
        <f>ROUND(NORMINV(Summary!M1167,VLOOKUP(A1166,Summary!$Q$13:$S$24,3,FALSE),VLOOKUP(A1166,Summary!$Q$13:$S$24,3,FALSE)/6),-1)</f>
        <v>490</v>
      </c>
      <c r="C1166" t="str">
        <f>IF(AND(H1166=0,C1165=Summary!$P$2),Summary!$Q$2,IF(AND(H1166=0,C1165=Summary!$Q$2),Summary!$R$2,C1165))</f>
        <v>Jared</v>
      </c>
      <c r="D1166" t="str">
        <f>IF(C1166=Summary!$P$26,VLOOKUP(Summary!M1173,Summary!$Q$26:$R$27,2),IF('Run Data'!C1166=Summary!$P$28,VLOOKUP(Summary!M1173,Summary!$Q$28:$R$29,2),VLOOKUP(Summary!M1173,Summary!$Q$30:$R$32,2)))</f>
        <v>Sprig 2</v>
      </c>
      <c r="E1166" t="str">
        <f>VLOOKUP(Summary!M1176,Summary!$P$42:$Q$43,2)</f>
        <v>86</v>
      </c>
      <c r="F1166">
        <f>IF(LEFT(A1166,3)="B60",20,IF(LEFT(A1166,3)="B12",30,25))+B1166*0.5+INT(Summary!M1179*20)</f>
        <v>282</v>
      </c>
      <c r="G1166">
        <f>ROUND(IF(OR(ISERROR(FIND(Summary!$P$89,CONCATENATE(C1166,D1166,E1166))),ISERROR(FIND(Summary!$Q$89,A1166))),Summary!$R$45,IF(H1166&gt;Summary!$V$3,Summary!$R$46,Summary!$R$45))*(B1166+30),0)</f>
        <v>62</v>
      </c>
      <c r="H1166">
        <f>IF(H1165&gt;Summary!$V$4,0,H1165+F1165)</f>
        <v>50202</v>
      </c>
      <c r="I1166" s="26">
        <f>DATE(YEAR(Summary!$V$2),MONTH(Summary!$V$2),DAY(Summary!$V$2)+INT(H1166/480))</f>
        <v>43694</v>
      </c>
      <c r="J1166" s="27">
        <f t="shared" si="18"/>
        <v>0.52916666666666667</v>
      </c>
    </row>
    <row r="1167" spans="1:10">
      <c r="A1167" t="str">
        <f>VLOOKUP(Summary!M1166,Summary!$P$13:$Q$24,2)</f>
        <v>B600-sky</v>
      </c>
      <c r="B1167">
        <f>ROUND(NORMINV(Summary!M1168,VLOOKUP(A1167,Summary!$Q$13:$S$24,3,FALSE),VLOOKUP(A1167,Summary!$Q$13:$S$24,3,FALSE)/6),-1)</f>
        <v>630</v>
      </c>
      <c r="C1167" t="str">
        <f>IF(AND(H1167=0,C1166=Summary!$P$2),Summary!$Q$2,IF(AND(H1167=0,C1166=Summary!$Q$2),Summary!$R$2,C1166))</f>
        <v>Jared</v>
      </c>
      <c r="D1167" t="str">
        <f>IF(C1167=Summary!$P$26,VLOOKUP(Summary!M1174,Summary!$Q$26:$R$27,2),IF('Run Data'!C1167=Summary!$P$28,VLOOKUP(Summary!M1174,Summary!$Q$28:$R$29,2),VLOOKUP(Summary!M1174,Summary!$Q$30:$R$32,2)))</f>
        <v>Sprig 2</v>
      </c>
      <c r="E1167" t="str">
        <f>VLOOKUP(Summary!M1177,Summary!$P$42:$Q$43,2)</f>
        <v>86</v>
      </c>
      <c r="F1167">
        <f>IF(LEFT(A1167,3)="B60",20,IF(LEFT(A1167,3)="B12",30,25))+B1167*0.5+INT(Summary!M1180*20)</f>
        <v>337</v>
      </c>
      <c r="G1167">
        <f>ROUND(IF(OR(ISERROR(FIND(Summary!$P$89,CONCATENATE(C1167,D1167,E1167))),ISERROR(FIND(Summary!$Q$89,A1167))),Summary!$R$45,IF(H1167&gt;Summary!$V$3,Summary!$R$46,Summary!$R$45))*(B1167+30),0)</f>
        <v>7</v>
      </c>
      <c r="H1167">
        <f>IF(H1166&gt;Summary!$V$4,0,H1166+F1166)</f>
        <v>50484</v>
      </c>
      <c r="I1167" s="26">
        <f>DATE(YEAR(Summary!$V$2),MONTH(Summary!$V$2),DAY(Summary!$V$2)+INT(H1167/480))</f>
        <v>43695</v>
      </c>
      <c r="J1167" s="27">
        <f t="shared" si="18"/>
        <v>0.39166666666666666</v>
      </c>
    </row>
    <row r="1168" spans="1:10">
      <c r="A1168" t="str">
        <f>VLOOKUP(Summary!M1167,Summary!$P$13:$Q$24,2)</f>
        <v>B1200-plum</v>
      </c>
      <c r="B1168">
        <f>ROUND(NORMINV(Summary!M1169,VLOOKUP(A1168,Summary!$Q$13:$S$24,3,FALSE),VLOOKUP(A1168,Summary!$Q$13:$S$24,3,FALSE)/6),-1)</f>
        <v>450</v>
      </c>
      <c r="C1168" t="str">
        <f>IF(AND(H1168=0,C1167=Summary!$P$2),Summary!$Q$2,IF(AND(H1168=0,C1167=Summary!$Q$2),Summary!$R$2,C1167))</f>
        <v>Jared</v>
      </c>
      <c r="D1168" t="str">
        <f>IF(C1168=Summary!$P$26,VLOOKUP(Summary!M1175,Summary!$Q$26:$R$27,2),IF('Run Data'!C1168=Summary!$P$28,VLOOKUP(Summary!M1175,Summary!$Q$28:$R$29,2),VLOOKUP(Summary!M1175,Summary!$Q$30:$R$32,2)))</f>
        <v>Sprig 2</v>
      </c>
      <c r="E1168" t="str">
        <f>VLOOKUP(Summary!M1178,Summary!$P$42:$Q$43,2)</f>
        <v>86</v>
      </c>
      <c r="F1168">
        <f>IF(LEFT(A1168,3)="B60",20,IF(LEFT(A1168,3)="B12",30,25))+B1168*0.5+INT(Summary!M1181*20)</f>
        <v>270</v>
      </c>
      <c r="G1168">
        <f>ROUND(IF(OR(ISERROR(FIND(Summary!$P$89,CONCATENATE(C1168,D1168,E1168))),ISERROR(FIND(Summary!$Q$89,A1168))),Summary!$R$45,IF(H1168&gt;Summary!$V$3,Summary!$R$46,Summary!$R$45))*(B1168+30),0)</f>
        <v>5</v>
      </c>
      <c r="H1168">
        <f>IF(H1167&gt;Summary!$V$4,0,H1167+F1167)</f>
        <v>50821</v>
      </c>
      <c r="I1168" s="26">
        <f>DATE(YEAR(Summary!$V$2),MONTH(Summary!$V$2),DAY(Summary!$V$2)+INT(H1168/480))</f>
        <v>43695</v>
      </c>
      <c r="J1168" s="27">
        <f t="shared" si="18"/>
        <v>0.62569444444444444</v>
      </c>
    </row>
    <row r="1169" spans="1:10">
      <c r="A1169" t="str">
        <f>VLOOKUP(Summary!M1168,Summary!$P$13:$Q$24,2)</f>
        <v>B1700-lime</v>
      </c>
      <c r="B1169">
        <f>ROUND(NORMINV(Summary!M1170,VLOOKUP(A1169,Summary!$Q$13:$S$24,3,FALSE),VLOOKUP(A1169,Summary!$Q$13:$S$24,3,FALSE)/6),-1)</f>
        <v>390</v>
      </c>
      <c r="C1169" t="str">
        <f>IF(AND(H1169=0,C1168=Summary!$P$2),Summary!$Q$2,IF(AND(H1169=0,C1168=Summary!$Q$2),Summary!$R$2,C1168))</f>
        <v>Jared</v>
      </c>
      <c r="D1169" t="str">
        <f>IF(C1169=Summary!$P$26,VLOOKUP(Summary!M1176,Summary!$Q$26:$R$27,2),IF('Run Data'!C1169=Summary!$P$28,VLOOKUP(Summary!M1176,Summary!$Q$28:$R$29,2),VLOOKUP(Summary!M1176,Summary!$Q$30:$R$32,2)))</f>
        <v>Sprig 2</v>
      </c>
      <c r="E1169" t="str">
        <f>VLOOKUP(Summary!M1179,Summary!$P$42:$Q$43,2)</f>
        <v>86</v>
      </c>
      <c r="F1169">
        <f>IF(LEFT(A1169,3)="B60",20,IF(LEFT(A1169,3)="B12",30,25))+B1169*0.5+INT(Summary!M1182*20)</f>
        <v>227</v>
      </c>
      <c r="G1169">
        <f>ROUND(IF(OR(ISERROR(FIND(Summary!$P$89,CONCATENATE(C1169,D1169,E1169))),ISERROR(FIND(Summary!$Q$89,A1169))),Summary!$R$45,IF(H1169&gt;Summary!$V$3,Summary!$R$46,Summary!$R$45))*(B1169+30),0)</f>
        <v>50</v>
      </c>
      <c r="H1169">
        <f>IF(H1168&gt;Summary!$V$4,0,H1168+F1168)</f>
        <v>51091</v>
      </c>
      <c r="I1169" s="26">
        <f>DATE(YEAR(Summary!$V$2),MONTH(Summary!$V$2),DAY(Summary!$V$2)+INT(H1169/480))</f>
        <v>43696</v>
      </c>
      <c r="J1169" s="27">
        <f t="shared" ref="J1169:J1232" si="19">TIME(INT(MOD(H1169,480)/60)+8,MOD(MOD(H1169,480),60),0)</f>
        <v>0.47986111111111113</v>
      </c>
    </row>
    <row r="1170" spans="1:10">
      <c r="A1170" t="str">
        <f>VLOOKUP(Summary!M1169,Summary!$P$13:$Q$24,2)</f>
        <v>B1200-fire</v>
      </c>
      <c r="B1170">
        <f>ROUND(NORMINV(Summary!M1171,VLOOKUP(A1170,Summary!$Q$13:$S$24,3,FALSE),VLOOKUP(A1170,Summary!$Q$13:$S$24,3,FALSE)/6),-1)</f>
        <v>1160</v>
      </c>
      <c r="C1170" t="str">
        <f>IF(AND(H1170=0,C1169=Summary!$P$2),Summary!$Q$2,IF(AND(H1170=0,C1169=Summary!$Q$2),Summary!$R$2,C1169))</f>
        <v>Jared</v>
      </c>
      <c r="D1170" t="str">
        <f>IF(C1170=Summary!$P$26,VLOOKUP(Summary!M1177,Summary!$Q$26:$R$27,2),IF('Run Data'!C1170=Summary!$P$28,VLOOKUP(Summary!M1177,Summary!$Q$28:$R$29,2),VLOOKUP(Summary!M1177,Summary!$Q$30:$R$32,2)))</f>
        <v>Sprig 2</v>
      </c>
      <c r="E1170" t="str">
        <f>VLOOKUP(Summary!M1180,Summary!$P$42:$Q$43,2)</f>
        <v>86</v>
      </c>
      <c r="F1170">
        <f>IF(LEFT(A1170,3)="B60",20,IF(LEFT(A1170,3)="B12",30,25))+B1170*0.5+INT(Summary!M1183*20)</f>
        <v>622</v>
      </c>
      <c r="G1170">
        <f>ROUND(IF(OR(ISERROR(FIND(Summary!$P$89,CONCATENATE(C1170,D1170,E1170))),ISERROR(FIND(Summary!$Q$89,A1170))),Summary!$R$45,IF(H1170&gt;Summary!$V$3,Summary!$R$46,Summary!$R$45))*(B1170+30),0)</f>
        <v>12</v>
      </c>
      <c r="H1170">
        <f>IF(H1169&gt;Summary!$V$4,0,H1169+F1169)</f>
        <v>51318</v>
      </c>
      <c r="I1170" s="26">
        <f>DATE(YEAR(Summary!$V$2),MONTH(Summary!$V$2),DAY(Summary!$V$2)+INT(H1170/480))</f>
        <v>43696</v>
      </c>
      <c r="J1170" s="27">
        <f t="shared" si="19"/>
        <v>0.63750000000000007</v>
      </c>
    </row>
    <row r="1171" spans="1:10">
      <c r="A1171" t="str">
        <f>VLOOKUP(Summary!M1170,Summary!$P$13:$Q$24,2)</f>
        <v>B1200-fire</v>
      </c>
      <c r="B1171">
        <f>ROUND(NORMINV(Summary!M1172,VLOOKUP(A1171,Summary!$Q$13:$S$24,3,FALSE),VLOOKUP(A1171,Summary!$Q$13:$S$24,3,FALSE)/6),-1)</f>
        <v>1110</v>
      </c>
      <c r="C1171" t="str">
        <f>IF(AND(H1171=0,C1170=Summary!$P$2),Summary!$Q$2,IF(AND(H1171=0,C1170=Summary!$Q$2),Summary!$R$2,C1170))</f>
        <v>Jared</v>
      </c>
      <c r="D1171" t="str">
        <f>IF(C1171=Summary!$P$26,VLOOKUP(Summary!M1178,Summary!$Q$26:$R$27,2),IF('Run Data'!C1171=Summary!$P$28,VLOOKUP(Summary!M1178,Summary!$Q$28:$R$29,2),VLOOKUP(Summary!M1178,Summary!$Q$30:$R$32,2)))</f>
        <v>Sprig 3</v>
      </c>
      <c r="E1171" t="str">
        <f>VLOOKUP(Summary!M1181,Summary!$P$42:$Q$43,2)</f>
        <v>86</v>
      </c>
      <c r="F1171">
        <f>IF(LEFT(A1171,3)="B60",20,IF(LEFT(A1171,3)="B12",30,25))+B1171*0.5+INT(Summary!M1184*20)</f>
        <v>598</v>
      </c>
      <c r="G1171">
        <f>ROUND(IF(OR(ISERROR(FIND(Summary!$P$89,CONCATENATE(C1171,D1171,E1171))),ISERROR(FIND(Summary!$Q$89,A1171))),Summary!$R$45,IF(H1171&gt;Summary!$V$3,Summary!$R$46,Summary!$R$45))*(B1171+30),0)</f>
        <v>11</v>
      </c>
      <c r="H1171">
        <f>IF(H1170&gt;Summary!$V$4,0,H1170+F1170)</f>
        <v>51940</v>
      </c>
      <c r="I1171" s="26">
        <f>DATE(YEAR(Summary!$V$2),MONTH(Summary!$V$2),DAY(Summary!$V$2)+INT(H1171/480))</f>
        <v>43698</v>
      </c>
      <c r="J1171" s="27">
        <f t="shared" si="19"/>
        <v>0.40277777777777773</v>
      </c>
    </row>
    <row r="1172" spans="1:10">
      <c r="A1172" t="str">
        <f>VLOOKUP(Summary!M1171,Summary!$P$13:$Q$24,2)</f>
        <v>B1200-sky</v>
      </c>
      <c r="B1172">
        <f>ROUND(NORMINV(Summary!M1173,VLOOKUP(A1172,Summary!$Q$13:$S$24,3,FALSE),VLOOKUP(A1172,Summary!$Q$13:$S$24,3,FALSE)/6),-1)</f>
        <v>1130</v>
      </c>
      <c r="C1172" t="str">
        <f>IF(AND(H1172=0,C1171=Summary!$P$2),Summary!$Q$2,IF(AND(H1172=0,C1171=Summary!$Q$2),Summary!$R$2,C1171))</f>
        <v>Jared</v>
      </c>
      <c r="D1172" t="str">
        <f>IF(C1172=Summary!$P$26,VLOOKUP(Summary!M1179,Summary!$Q$26:$R$27,2),IF('Run Data'!C1172=Summary!$P$28,VLOOKUP(Summary!M1179,Summary!$Q$28:$R$29,2),VLOOKUP(Summary!M1179,Summary!$Q$30:$R$32,2)))</f>
        <v>Sprig 3</v>
      </c>
      <c r="E1172" t="str">
        <f>VLOOKUP(Summary!M1182,Summary!$P$42:$Q$43,2)</f>
        <v>86</v>
      </c>
      <c r="F1172">
        <f>IF(LEFT(A1172,3)="B60",20,IF(LEFT(A1172,3)="B12",30,25))+B1172*0.5+INT(Summary!M1185*20)</f>
        <v>605</v>
      </c>
      <c r="G1172">
        <f>ROUND(IF(OR(ISERROR(FIND(Summary!$P$89,CONCATENATE(C1172,D1172,E1172))),ISERROR(FIND(Summary!$Q$89,A1172))),Summary!$R$45,IF(H1172&gt;Summary!$V$3,Summary!$R$46,Summary!$R$45))*(B1172+30),0)</f>
        <v>12</v>
      </c>
      <c r="H1172">
        <f>IF(H1171&gt;Summary!$V$4,0,H1171+F1171)</f>
        <v>52538</v>
      </c>
      <c r="I1172" s="26">
        <f>DATE(YEAR(Summary!$V$2),MONTH(Summary!$V$2),DAY(Summary!$V$2)+INT(H1172/480))</f>
        <v>43699</v>
      </c>
      <c r="J1172" s="27">
        <f t="shared" si="19"/>
        <v>0.48472222222222222</v>
      </c>
    </row>
    <row r="1173" spans="1:10">
      <c r="A1173" t="str">
        <f>VLOOKUP(Summary!M1172,Summary!$P$13:$Q$24,2)</f>
        <v>B1200-sky</v>
      </c>
      <c r="B1173">
        <f>ROUND(NORMINV(Summary!M1174,VLOOKUP(A1173,Summary!$Q$13:$S$24,3,FALSE),VLOOKUP(A1173,Summary!$Q$13:$S$24,3,FALSE)/6),-1)</f>
        <v>1240</v>
      </c>
      <c r="C1173" t="str">
        <f>IF(AND(H1173=0,C1172=Summary!$P$2),Summary!$Q$2,IF(AND(H1173=0,C1172=Summary!$Q$2),Summary!$R$2,C1172))</f>
        <v>Jared</v>
      </c>
      <c r="D1173" t="str">
        <f>IF(C1173=Summary!$P$26,VLOOKUP(Summary!M1180,Summary!$Q$26:$R$27,2),IF('Run Data'!C1173=Summary!$P$28,VLOOKUP(Summary!M1180,Summary!$Q$28:$R$29,2),VLOOKUP(Summary!M1180,Summary!$Q$30:$R$32,2)))</f>
        <v>Sprig 1</v>
      </c>
      <c r="E1173" t="str">
        <f>VLOOKUP(Summary!M1183,Summary!$P$42:$Q$43,2)</f>
        <v>86</v>
      </c>
      <c r="F1173">
        <f>IF(LEFT(A1173,3)="B60",20,IF(LEFT(A1173,3)="B12",30,25))+B1173*0.5+INT(Summary!M1186*20)</f>
        <v>657</v>
      </c>
      <c r="G1173">
        <f>ROUND(IF(OR(ISERROR(FIND(Summary!$P$89,CONCATENATE(C1173,D1173,E1173))),ISERROR(FIND(Summary!$Q$89,A1173))),Summary!$R$45,IF(H1173&gt;Summary!$V$3,Summary!$R$46,Summary!$R$45))*(B1173+30),0)</f>
        <v>13</v>
      </c>
      <c r="H1173">
        <f>IF(H1172&gt;Summary!$V$4,0,H1172+F1172)</f>
        <v>53143</v>
      </c>
      <c r="I1173" s="26">
        <f>DATE(YEAR(Summary!$V$2),MONTH(Summary!$V$2),DAY(Summary!$V$2)+INT(H1173/480))</f>
        <v>43700</v>
      </c>
      <c r="J1173" s="27">
        <f t="shared" si="19"/>
        <v>0.57152777777777775</v>
      </c>
    </row>
    <row r="1174" spans="1:10">
      <c r="A1174" t="str">
        <f>VLOOKUP(Summary!M1173,Summary!$P$13:$Q$24,2)</f>
        <v>B1200-sky</v>
      </c>
      <c r="B1174">
        <f>ROUND(NORMINV(Summary!M1175,VLOOKUP(A1174,Summary!$Q$13:$S$24,3,FALSE),VLOOKUP(A1174,Summary!$Q$13:$S$24,3,FALSE)/6),-1)</f>
        <v>1170</v>
      </c>
      <c r="C1174" t="str">
        <f>IF(AND(H1174=0,C1173=Summary!$P$2),Summary!$Q$2,IF(AND(H1174=0,C1173=Summary!$Q$2),Summary!$R$2,C1173))</f>
        <v>Jared</v>
      </c>
      <c r="D1174" t="str">
        <f>IF(C1174=Summary!$P$26,VLOOKUP(Summary!M1181,Summary!$Q$26:$R$27,2),IF('Run Data'!C1174=Summary!$P$28,VLOOKUP(Summary!M1181,Summary!$Q$28:$R$29,2),VLOOKUP(Summary!M1181,Summary!$Q$30:$R$32,2)))</f>
        <v>Sprig 3</v>
      </c>
      <c r="E1174" t="str">
        <f>VLOOKUP(Summary!M1184,Summary!$P$42:$Q$43,2)</f>
        <v>86</v>
      </c>
      <c r="F1174">
        <f>IF(LEFT(A1174,3)="B60",20,IF(LEFT(A1174,3)="B12",30,25))+B1174*0.5+INT(Summary!M1187*20)</f>
        <v>625</v>
      </c>
      <c r="G1174">
        <f>ROUND(IF(OR(ISERROR(FIND(Summary!$P$89,CONCATENATE(C1174,D1174,E1174))),ISERROR(FIND(Summary!$Q$89,A1174))),Summary!$R$45,IF(H1174&gt;Summary!$V$3,Summary!$R$46,Summary!$R$45))*(B1174+30),0)</f>
        <v>12</v>
      </c>
      <c r="H1174">
        <f>IF(H1173&gt;Summary!$V$4,0,H1173+F1173)</f>
        <v>53800</v>
      </c>
      <c r="I1174" s="26">
        <f>DATE(YEAR(Summary!$V$2),MONTH(Summary!$V$2),DAY(Summary!$V$2)+INT(H1174/480))</f>
        <v>43702</v>
      </c>
      <c r="J1174" s="27">
        <f t="shared" si="19"/>
        <v>0.3611111111111111</v>
      </c>
    </row>
    <row r="1175" spans="1:10">
      <c r="A1175" t="str">
        <f>VLOOKUP(Summary!M1174,Summary!$P$13:$Q$24,2)</f>
        <v>B1200-lime</v>
      </c>
      <c r="B1175">
        <f>ROUND(NORMINV(Summary!M1176,VLOOKUP(A1175,Summary!$Q$13:$S$24,3,FALSE),VLOOKUP(A1175,Summary!$Q$13:$S$24,3,FALSE)/6),-1)</f>
        <v>800</v>
      </c>
      <c r="C1175" t="str">
        <f>IF(AND(H1175=0,C1174=Summary!$P$2),Summary!$Q$2,IF(AND(H1175=0,C1174=Summary!$Q$2),Summary!$R$2,C1174))</f>
        <v>Jared</v>
      </c>
      <c r="D1175" t="str">
        <f>IF(C1175=Summary!$P$26,VLOOKUP(Summary!M1182,Summary!$Q$26:$R$27,2),IF('Run Data'!C1175=Summary!$P$28,VLOOKUP(Summary!M1182,Summary!$Q$28:$R$29,2),VLOOKUP(Summary!M1182,Summary!$Q$30:$R$32,2)))</f>
        <v>Sprig 2</v>
      </c>
      <c r="E1175" t="str">
        <f>VLOOKUP(Summary!M1185,Summary!$P$42:$Q$43,2)</f>
        <v>86</v>
      </c>
      <c r="F1175">
        <f>IF(LEFT(A1175,3)="B60",20,IF(LEFT(A1175,3)="B12",30,25))+B1175*0.5+INT(Summary!M1188*20)</f>
        <v>439</v>
      </c>
      <c r="G1175">
        <f>ROUND(IF(OR(ISERROR(FIND(Summary!$P$89,CONCATENATE(C1175,D1175,E1175))),ISERROR(FIND(Summary!$Q$89,A1175))),Summary!$R$45,IF(H1175&gt;Summary!$V$3,Summary!$R$46,Summary!$R$45))*(B1175+30),0)</f>
        <v>8</v>
      </c>
      <c r="H1175">
        <f>IF(H1174&gt;Summary!$V$4,0,H1174+F1174)</f>
        <v>54425</v>
      </c>
      <c r="I1175" s="26">
        <f>DATE(YEAR(Summary!$V$2),MONTH(Summary!$V$2),DAY(Summary!$V$2)+INT(H1175/480))</f>
        <v>43703</v>
      </c>
      <c r="J1175" s="27">
        <f t="shared" si="19"/>
        <v>0.46180555555555558</v>
      </c>
    </row>
    <row r="1176" spans="1:10">
      <c r="A1176" t="str">
        <f>VLOOKUP(Summary!M1175,Summary!$P$13:$Q$24,2)</f>
        <v>B1200-sky</v>
      </c>
      <c r="B1176">
        <f>ROUND(NORMINV(Summary!M1177,VLOOKUP(A1176,Summary!$Q$13:$S$24,3,FALSE),VLOOKUP(A1176,Summary!$Q$13:$S$24,3,FALSE)/6),-1)</f>
        <v>1240</v>
      </c>
      <c r="C1176" t="str">
        <f>IF(AND(H1176=0,C1175=Summary!$P$2),Summary!$Q$2,IF(AND(H1176=0,C1175=Summary!$Q$2),Summary!$R$2,C1175))</f>
        <v>Jared</v>
      </c>
      <c r="D1176" t="str">
        <f>IF(C1176=Summary!$P$26,VLOOKUP(Summary!M1183,Summary!$Q$26:$R$27,2),IF('Run Data'!C1176=Summary!$P$28,VLOOKUP(Summary!M1183,Summary!$Q$28:$R$29,2),VLOOKUP(Summary!M1183,Summary!$Q$30:$R$32,2)))</f>
        <v>Sprig 3</v>
      </c>
      <c r="E1176" t="str">
        <f>VLOOKUP(Summary!M1186,Summary!$P$42:$Q$43,2)</f>
        <v>86</v>
      </c>
      <c r="F1176">
        <f>IF(LEFT(A1176,3)="B60",20,IF(LEFT(A1176,3)="B12",30,25))+B1176*0.5+INT(Summary!M1189*20)</f>
        <v>668</v>
      </c>
      <c r="G1176">
        <f>ROUND(IF(OR(ISERROR(FIND(Summary!$P$89,CONCATENATE(C1176,D1176,E1176))),ISERROR(FIND(Summary!$Q$89,A1176))),Summary!$R$45,IF(H1176&gt;Summary!$V$3,Summary!$R$46,Summary!$R$45))*(B1176+30),0)</f>
        <v>13</v>
      </c>
      <c r="H1176">
        <f>IF(H1175&gt;Summary!$V$4,0,H1175+F1175)</f>
        <v>54864</v>
      </c>
      <c r="I1176" s="26">
        <f>DATE(YEAR(Summary!$V$2),MONTH(Summary!$V$2),DAY(Summary!$V$2)+INT(H1176/480))</f>
        <v>43704</v>
      </c>
      <c r="J1176" s="27">
        <f t="shared" si="19"/>
        <v>0.43333333333333335</v>
      </c>
    </row>
    <row r="1177" spans="1:10">
      <c r="A1177" t="str">
        <f>VLOOKUP(Summary!M1176,Summary!$P$13:$Q$24,2)</f>
        <v>B1200-fire</v>
      </c>
      <c r="B1177">
        <f>ROUND(NORMINV(Summary!M1178,VLOOKUP(A1177,Summary!$Q$13:$S$24,3,FALSE),VLOOKUP(A1177,Summary!$Q$13:$S$24,3,FALSE)/6),-1)</f>
        <v>1270</v>
      </c>
      <c r="C1177" t="str">
        <f>IF(AND(H1177=0,C1176=Summary!$P$2),Summary!$Q$2,IF(AND(H1177=0,C1176=Summary!$Q$2),Summary!$R$2,C1176))</f>
        <v>Jared</v>
      </c>
      <c r="D1177" t="str">
        <f>IF(C1177=Summary!$P$26,VLOOKUP(Summary!M1184,Summary!$Q$26:$R$27,2),IF('Run Data'!C1177=Summary!$P$28,VLOOKUP(Summary!M1184,Summary!$Q$28:$R$29,2),VLOOKUP(Summary!M1184,Summary!$Q$30:$R$32,2)))</f>
        <v>Sprig 3</v>
      </c>
      <c r="E1177" t="str">
        <f>VLOOKUP(Summary!M1187,Summary!$P$42:$Q$43,2)</f>
        <v>86</v>
      </c>
      <c r="F1177">
        <f>IF(LEFT(A1177,3)="B60",20,IF(LEFT(A1177,3)="B12",30,25))+B1177*0.5+INT(Summary!M1190*20)</f>
        <v>672</v>
      </c>
      <c r="G1177">
        <f>ROUND(IF(OR(ISERROR(FIND(Summary!$P$89,CONCATENATE(C1177,D1177,E1177))),ISERROR(FIND(Summary!$Q$89,A1177))),Summary!$R$45,IF(H1177&gt;Summary!$V$3,Summary!$R$46,Summary!$R$45))*(B1177+30),0)</f>
        <v>13</v>
      </c>
      <c r="H1177">
        <f>IF(H1176&gt;Summary!$V$4,0,H1176+F1176)</f>
        <v>55532</v>
      </c>
      <c r="I1177" s="26">
        <f>DATE(YEAR(Summary!$V$2),MONTH(Summary!$V$2),DAY(Summary!$V$2)+INT(H1177/480))</f>
        <v>43705</v>
      </c>
      <c r="J1177" s="27">
        <f t="shared" si="19"/>
        <v>0.56388888888888888</v>
      </c>
    </row>
    <row r="1178" spans="1:10">
      <c r="A1178" t="str">
        <f>VLOOKUP(Summary!M1177,Summary!$P$13:$Q$24,2)</f>
        <v>B1200-lime</v>
      </c>
      <c r="B1178">
        <f>ROUND(NORMINV(Summary!M1179,VLOOKUP(A1178,Summary!$Q$13:$S$24,3,FALSE),VLOOKUP(A1178,Summary!$Q$13:$S$24,3,FALSE)/6),-1)</f>
        <v>840</v>
      </c>
      <c r="C1178" t="str">
        <f>IF(AND(H1178=0,C1177=Summary!$P$2),Summary!$Q$2,IF(AND(H1178=0,C1177=Summary!$Q$2),Summary!$R$2,C1177))</f>
        <v>Jared</v>
      </c>
      <c r="D1178" t="str">
        <f>IF(C1178=Summary!$P$26,VLOOKUP(Summary!M1185,Summary!$Q$26:$R$27,2),IF('Run Data'!C1178=Summary!$P$28,VLOOKUP(Summary!M1185,Summary!$Q$28:$R$29,2),VLOOKUP(Summary!M1185,Summary!$Q$30:$R$32,2)))</f>
        <v>Sprig 2</v>
      </c>
      <c r="E1178" t="str">
        <f>VLOOKUP(Summary!M1188,Summary!$P$42:$Q$43,2)</f>
        <v>86</v>
      </c>
      <c r="F1178">
        <f>IF(LEFT(A1178,3)="B60",20,IF(LEFT(A1178,3)="B12",30,25))+B1178*0.5+INT(Summary!M1191*20)</f>
        <v>465</v>
      </c>
      <c r="G1178">
        <f>ROUND(IF(OR(ISERROR(FIND(Summary!$P$89,CONCATENATE(C1178,D1178,E1178))),ISERROR(FIND(Summary!$Q$89,A1178))),Summary!$R$45,IF(H1178&gt;Summary!$V$3,Summary!$R$46,Summary!$R$45))*(B1178+30),0)</f>
        <v>9</v>
      </c>
      <c r="H1178">
        <f>IF(H1177&gt;Summary!$V$4,0,H1177+F1177)</f>
        <v>56204</v>
      </c>
      <c r="I1178" s="26">
        <f>DATE(YEAR(Summary!$V$2),MONTH(Summary!$V$2),DAY(Summary!$V$2)+INT(H1178/480))</f>
        <v>43707</v>
      </c>
      <c r="J1178" s="27">
        <f t="shared" si="19"/>
        <v>0.36388888888888887</v>
      </c>
    </row>
    <row r="1179" spans="1:10">
      <c r="A1179" t="str">
        <f>VLOOKUP(Summary!M1178,Summary!$P$13:$Q$24,2)</f>
        <v>B1200-lime</v>
      </c>
      <c r="B1179">
        <f>ROUND(NORMINV(Summary!M1180,VLOOKUP(A1179,Summary!$Q$13:$S$24,3,FALSE),VLOOKUP(A1179,Summary!$Q$13:$S$24,3,FALSE)/6),-1)</f>
        <v>640</v>
      </c>
      <c r="C1179" t="str">
        <f>IF(AND(H1179=0,C1178=Summary!$P$2),Summary!$Q$2,IF(AND(H1179=0,C1178=Summary!$Q$2),Summary!$R$2,C1178))</f>
        <v>Jared</v>
      </c>
      <c r="D1179" t="str">
        <f>IF(C1179=Summary!$P$26,VLOOKUP(Summary!M1186,Summary!$Q$26:$R$27,2),IF('Run Data'!C1179=Summary!$P$28,VLOOKUP(Summary!M1186,Summary!$Q$28:$R$29,2),VLOOKUP(Summary!M1186,Summary!$Q$30:$R$32,2)))</f>
        <v>Sprig 2</v>
      </c>
      <c r="E1179" t="str">
        <f>VLOOKUP(Summary!M1189,Summary!$P$42:$Q$43,2)</f>
        <v>87b</v>
      </c>
      <c r="F1179">
        <f>IF(LEFT(A1179,3)="B60",20,IF(LEFT(A1179,3)="B12",30,25))+B1179*0.5+INT(Summary!M1192*20)</f>
        <v>369</v>
      </c>
      <c r="G1179">
        <f>ROUND(IF(OR(ISERROR(FIND(Summary!$P$89,CONCATENATE(C1179,D1179,E1179))),ISERROR(FIND(Summary!$Q$89,A1179))),Summary!$R$45,IF(H1179&gt;Summary!$V$3,Summary!$R$46,Summary!$R$45))*(B1179+30),0)</f>
        <v>7</v>
      </c>
      <c r="H1179">
        <f>IF(H1178&gt;Summary!$V$4,0,H1178+F1178)</f>
        <v>56669</v>
      </c>
      <c r="I1179" s="26">
        <f>DATE(YEAR(Summary!$V$2),MONTH(Summary!$V$2),DAY(Summary!$V$2)+INT(H1179/480))</f>
        <v>43708</v>
      </c>
      <c r="J1179" s="27">
        <f t="shared" si="19"/>
        <v>0.35347222222222219</v>
      </c>
    </row>
    <row r="1180" spans="1:10">
      <c r="A1180" t="str">
        <f>VLOOKUP(Summary!M1179,Summary!$P$13:$Q$24,2)</f>
        <v>B1200-lime</v>
      </c>
      <c r="B1180">
        <f>ROUND(NORMINV(Summary!M1181,VLOOKUP(A1180,Summary!$Q$13:$S$24,3,FALSE),VLOOKUP(A1180,Summary!$Q$13:$S$24,3,FALSE)/6),-1)</f>
        <v>900</v>
      </c>
      <c r="C1180" t="str">
        <f>IF(AND(H1180=0,C1179=Summary!$P$2),Summary!$Q$2,IF(AND(H1180=0,C1179=Summary!$Q$2),Summary!$R$2,C1179))</f>
        <v>Jared</v>
      </c>
      <c r="D1180" t="str">
        <f>IF(C1180=Summary!$P$26,VLOOKUP(Summary!M1187,Summary!$Q$26:$R$27,2),IF('Run Data'!C1180=Summary!$P$28,VLOOKUP(Summary!M1187,Summary!$Q$28:$R$29,2),VLOOKUP(Summary!M1187,Summary!$Q$30:$R$32,2)))</f>
        <v>Sprig 2</v>
      </c>
      <c r="E1180" t="str">
        <f>VLOOKUP(Summary!M1190,Summary!$P$42:$Q$43,2)</f>
        <v>86</v>
      </c>
      <c r="F1180">
        <f>IF(LEFT(A1180,3)="B60",20,IF(LEFT(A1180,3)="B12",30,25))+B1180*0.5+INT(Summary!M1193*20)</f>
        <v>495</v>
      </c>
      <c r="G1180">
        <f>ROUND(IF(OR(ISERROR(FIND(Summary!$P$89,CONCATENATE(C1180,D1180,E1180))),ISERROR(FIND(Summary!$Q$89,A1180))),Summary!$R$45,IF(H1180&gt;Summary!$V$3,Summary!$R$46,Summary!$R$45))*(B1180+30),0)</f>
        <v>9</v>
      </c>
      <c r="H1180">
        <f>IF(H1179&gt;Summary!$V$4,0,H1179+F1179)</f>
        <v>57038</v>
      </c>
      <c r="I1180" s="26">
        <f>DATE(YEAR(Summary!$V$2),MONTH(Summary!$V$2),DAY(Summary!$V$2)+INT(H1180/480))</f>
        <v>43708</v>
      </c>
      <c r="J1180" s="27">
        <f t="shared" si="19"/>
        <v>0.60972222222222217</v>
      </c>
    </row>
    <row r="1181" spans="1:10">
      <c r="A1181" t="str">
        <f>VLOOKUP(Summary!M1180,Summary!$P$13:$Q$24,2)</f>
        <v>B600-fire</v>
      </c>
      <c r="B1181">
        <f>ROUND(NORMINV(Summary!M1182,VLOOKUP(A1181,Summary!$Q$13:$S$24,3,FALSE),VLOOKUP(A1181,Summary!$Q$13:$S$24,3,FALSE)/6),-1)</f>
        <v>380</v>
      </c>
      <c r="C1181" t="str">
        <f>IF(AND(H1181=0,C1180=Summary!$P$2),Summary!$Q$2,IF(AND(H1181=0,C1180=Summary!$Q$2),Summary!$R$2,C1180))</f>
        <v>Jared</v>
      </c>
      <c r="D1181" t="str">
        <f>IF(C1181=Summary!$P$26,VLOOKUP(Summary!M1188,Summary!$Q$26:$R$27,2),IF('Run Data'!C1181=Summary!$P$28,VLOOKUP(Summary!M1188,Summary!$Q$28:$R$29,2),VLOOKUP(Summary!M1188,Summary!$Q$30:$R$32,2)))</f>
        <v>Sprig 2</v>
      </c>
      <c r="E1181" t="str">
        <f>VLOOKUP(Summary!M1191,Summary!$P$42:$Q$43,2)</f>
        <v>86</v>
      </c>
      <c r="F1181">
        <f>IF(LEFT(A1181,3)="B60",20,IF(LEFT(A1181,3)="B12",30,25))+B1181*0.5+INT(Summary!M1194*20)</f>
        <v>229</v>
      </c>
      <c r="G1181">
        <f>ROUND(IF(OR(ISERROR(FIND(Summary!$P$89,CONCATENATE(C1181,D1181,E1181))),ISERROR(FIND(Summary!$Q$89,A1181))),Summary!$R$45,IF(H1181&gt;Summary!$V$3,Summary!$R$46,Summary!$R$45))*(B1181+30),0)</f>
        <v>4</v>
      </c>
      <c r="H1181">
        <f>IF(H1180&gt;Summary!$V$4,0,H1180+F1180)</f>
        <v>57533</v>
      </c>
      <c r="I1181" s="26">
        <f>DATE(YEAR(Summary!$V$2),MONTH(Summary!$V$2),DAY(Summary!$V$2)+INT(H1181/480))</f>
        <v>43709</v>
      </c>
      <c r="J1181" s="27">
        <f t="shared" si="19"/>
        <v>0.62013888888888891</v>
      </c>
    </row>
    <row r="1182" spans="1:10">
      <c r="A1182" t="str">
        <f>VLOOKUP(Summary!M1181,Summary!$P$13:$Q$24,2)</f>
        <v>B1700-sky</v>
      </c>
      <c r="B1182">
        <f>ROUND(NORMINV(Summary!M1183,VLOOKUP(A1182,Summary!$Q$13:$S$24,3,FALSE),VLOOKUP(A1182,Summary!$Q$13:$S$24,3,FALSE)/6),-1)</f>
        <v>580</v>
      </c>
      <c r="C1182" t="str">
        <f>IF(AND(H1182=0,C1181=Summary!$P$2),Summary!$Q$2,IF(AND(H1182=0,C1181=Summary!$Q$2),Summary!$R$2,C1181))</f>
        <v>Jared</v>
      </c>
      <c r="D1182" t="str">
        <f>IF(C1182=Summary!$P$26,VLOOKUP(Summary!M1189,Summary!$Q$26:$R$27,2),IF('Run Data'!C1182=Summary!$P$28,VLOOKUP(Summary!M1189,Summary!$Q$28:$R$29,2),VLOOKUP(Summary!M1189,Summary!$Q$30:$R$32,2)))</f>
        <v>Sprig 3</v>
      </c>
      <c r="E1182" t="str">
        <f>VLOOKUP(Summary!M1192,Summary!$P$42:$Q$43,2)</f>
        <v>87b</v>
      </c>
      <c r="F1182">
        <f>IF(LEFT(A1182,3)="B60",20,IF(LEFT(A1182,3)="B12",30,25))+B1182*0.5+INT(Summary!M1195*20)</f>
        <v>319</v>
      </c>
      <c r="G1182">
        <f>ROUND(IF(OR(ISERROR(FIND(Summary!$P$89,CONCATENATE(C1182,D1182,E1182))),ISERROR(FIND(Summary!$Q$89,A1182))),Summary!$R$45,IF(H1182&gt;Summary!$V$3,Summary!$R$46,Summary!$R$45))*(B1182+30),0)</f>
        <v>6</v>
      </c>
      <c r="H1182">
        <f>IF(H1181&gt;Summary!$V$4,0,H1181+F1181)</f>
        <v>57762</v>
      </c>
      <c r="I1182" s="26">
        <f>DATE(YEAR(Summary!$V$2),MONTH(Summary!$V$2),DAY(Summary!$V$2)+INT(H1182/480))</f>
        <v>43710</v>
      </c>
      <c r="J1182" s="27">
        <f t="shared" si="19"/>
        <v>0.4458333333333333</v>
      </c>
    </row>
    <row r="1183" spans="1:10">
      <c r="A1183" t="str">
        <f>VLOOKUP(Summary!M1182,Summary!$P$13:$Q$24,2)</f>
        <v>B1200-sky</v>
      </c>
      <c r="B1183">
        <f>ROUND(NORMINV(Summary!M1184,VLOOKUP(A1183,Summary!$Q$13:$S$24,3,FALSE),VLOOKUP(A1183,Summary!$Q$13:$S$24,3,FALSE)/6),-1)</f>
        <v>1290</v>
      </c>
      <c r="C1183" t="str">
        <f>IF(AND(H1183=0,C1182=Summary!$P$2),Summary!$Q$2,IF(AND(H1183=0,C1182=Summary!$Q$2),Summary!$R$2,C1182))</f>
        <v>Jared</v>
      </c>
      <c r="D1183" t="str">
        <f>IF(C1183=Summary!$P$26,VLOOKUP(Summary!M1190,Summary!$Q$26:$R$27,2),IF('Run Data'!C1183=Summary!$P$28,VLOOKUP(Summary!M1190,Summary!$Q$28:$R$29,2),VLOOKUP(Summary!M1190,Summary!$Q$30:$R$32,2)))</f>
        <v>Sprig 2</v>
      </c>
      <c r="E1183" t="str">
        <f>VLOOKUP(Summary!M1193,Summary!$P$42:$Q$43,2)</f>
        <v>86</v>
      </c>
      <c r="F1183">
        <f>IF(LEFT(A1183,3)="B60",20,IF(LEFT(A1183,3)="B12",30,25))+B1183*0.5+INT(Summary!M1196*20)</f>
        <v>685</v>
      </c>
      <c r="G1183">
        <f>ROUND(IF(OR(ISERROR(FIND(Summary!$P$89,CONCATENATE(C1183,D1183,E1183))),ISERROR(FIND(Summary!$Q$89,A1183))),Summary!$R$45,IF(H1183&gt;Summary!$V$3,Summary!$R$46,Summary!$R$45))*(B1183+30),0)</f>
        <v>13</v>
      </c>
      <c r="H1183">
        <f>IF(H1182&gt;Summary!$V$4,0,H1182+F1182)</f>
        <v>58081</v>
      </c>
      <c r="I1183" s="26">
        <f>DATE(YEAR(Summary!$V$2),MONTH(Summary!$V$2),DAY(Summary!$V$2)+INT(H1183/480))</f>
        <v>43711</v>
      </c>
      <c r="J1183" s="27">
        <f t="shared" si="19"/>
        <v>0.33402777777777781</v>
      </c>
    </row>
    <row r="1184" spans="1:10">
      <c r="A1184" t="str">
        <f>VLOOKUP(Summary!M1183,Summary!$P$13:$Q$24,2)</f>
        <v>B1200-lime</v>
      </c>
      <c r="B1184">
        <f>ROUND(NORMINV(Summary!M1185,VLOOKUP(A1184,Summary!$Q$13:$S$24,3,FALSE),VLOOKUP(A1184,Summary!$Q$13:$S$24,3,FALSE)/6),-1)</f>
        <v>800</v>
      </c>
      <c r="C1184" t="str">
        <f>IF(AND(H1184=0,C1183=Summary!$P$2),Summary!$Q$2,IF(AND(H1184=0,C1183=Summary!$Q$2),Summary!$R$2,C1183))</f>
        <v>Jared</v>
      </c>
      <c r="D1184" t="str">
        <f>IF(C1184=Summary!$P$26,VLOOKUP(Summary!M1191,Summary!$Q$26:$R$27,2),IF('Run Data'!C1184=Summary!$P$28,VLOOKUP(Summary!M1191,Summary!$Q$28:$R$29,2),VLOOKUP(Summary!M1191,Summary!$Q$30:$R$32,2)))</f>
        <v>Sprig 3</v>
      </c>
      <c r="E1184" t="str">
        <f>VLOOKUP(Summary!M1194,Summary!$P$42:$Q$43,2)</f>
        <v>87b</v>
      </c>
      <c r="F1184">
        <f>IF(LEFT(A1184,3)="B60",20,IF(LEFT(A1184,3)="B12",30,25))+B1184*0.5+INT(Summary!M1197*20)</f>
        <v>442</v>
      </c>
      <c r="G1184">
        <f>ROUND(IF(OR(ISERROR(FIND(Summary!$P$89,CONCATENATE(C1184,D1184,E1184))),ISERROR(FIND(Summary!$Q$89,A1184))),Summary!$R$45,IF(H1184&gt;Summary!$V$3,Summary!$R$46,Summary!$R$45))*(B1184+30),0)</f>
        <v>8</v>
      </c>
      <c r="H1184">
        <f>IF(H1183&gt;Summary!$V$4,0,H1183+F1183)</f>
        <v>58766</v>
      </c>
      <c r="I1184" s="26">
        <f>DATE(YEAR(Summary!$V$2),MONTH(Summary!$V$2),DAY(Summary!$V$2)+INT(H1184/480))</f>
        <v>43712</v>
      </c>
      <c r="J1184" s="27">
        <f t="shared" si="19"/>
        <v>0.47638888888888892</v>
      </c>
    </row>
    <row r="1185" spans="1:10">
      <c r="A1185" t="str">
        <f>VLOOKUP(Summary!M1184,Summary!$P$13:$Q$24,2)</f>
        <v>B1200-lime</v>
      </c>
      <c r="B1185">
        <f>ROUND(NORMINV(Summary!M1186,VLOOKUP(A1185,Summary!$Q$13:$S$24,3,FALSE),VLOOKUP(A1185,Summary!$Q$13:$S$24,3,FALSE)/6),-1)</f>
        <v>750</v>
      </c>
      <c r="C1185" t="str">
        <f>IF(AND(H1185=0,C1184=Summary!$P$2),Summary!$Q$2,IF(AND(H1185=0,C1184=Summary!$Q$2),Summary!$R$2,C1184))</f>
        <v>Jared</v>
      </c>
      <c r="D1185" t="str">
        <f>IF(C1185=Summary!$P$26,VLOOKUP(Summary!M1192,Summary!$Q$26:$R$27,2),IF('Run Data'!C1185=Summary!$P$28,VLOOKUP(Summary!M1192,Summary!$Q$28:$R$29,2),VLOOKUP(Summary!M1192,Summary!$Q$30:$R$32,2)))</f>
        <v>Sprig 3</v>
      </c>
      <c r="E1185" t="str">
        <f>VLOOKUP(Summary!M1195,Summary!$P$42:$Q$43,2)</f>
        <v>86</v>
      </c>
      <c r="F1185">
        <f>IF(LEFT(A1185,3)="B60",20,IF(LEFT(A1185,3)="B12",30,25))+B1185*0.5+INT(Summary!M1198*20)</f>
        <v>418</v>
      </c>
      <c r="G1185">
        <f>ROUND(IF(OR(ISERROR(FIND(Summary!$P$89,CONCATENATE(C1185,D1185,E1185))),ISERROR(FIND(Summary!$Q$89,A1185))),Summary!$R$45,IF(H1185&gt;Summary!$V$3,Summary!$R$46,Summary!$R$45))*(B1185+30),0)</f>
        <v>8</v>
      </c>
      <c r="H1185">
        <f>IF(H1184&gt;Summary!$V$4,0,H1184+F1184)</f>
        <v>59208</v>
      </c>
      <c r="I1185" s="26">
        <f>DATE(YEAR(Summary!$V$2),MONTH(Summary!$V$2),DAY(Summary!$V$2)+INT(H1185/480))</f>
        <v>43713</v>
      </c>
      <c r="J1185" s="27">
        <f t="shared" si="19"/>
        <v>0.45</v>
      </c>
    </row>
    <row r="1186" spans="1:10">
      <c r="A1186" t="str">
        <f>VLOOKUP(Summary!M1185,Summary!$P$13:$Q$24,2)</f>
        <v>B1200-fire</v>
      </c>
      <c r="B1186">
        <f>ROUND(NORMINV(Summary!M1187,VLOOKUP(A1186,Summary!$Q$13:$S$24,3,FALSE),VLOOKUP(A1186,Summary!$Q$13:$S$24,3,FALSE)/6),-1)</f>
        <v>1220</v>
      </c>
      <c r="C1186" t="str">
        <f>IF(AND(H1186=0,C1185=Summary!$P$2),Summary!$Q$2,IF(AND(H1186=0,C1185=Summary!$Q$2),Summary!$R$2,C1185))</f>
        <v>Jared</v>
      </c>
      <c r="D1186" t="str">
        <f>IF(C1186=Summary!$P$26,VLOOKUP(Summary!M1193,Summary!$Q$26:$R$27,2),IF('Run Data'!C1186=Summary!$P$28,VLOOKUP(Summary!M1193,Summary!$Q$28:$R$29,2),VLOOKUP(Summary!M1193,Summary!$Q$30:$R$32,2)))</f>
        <v>Sprig 3</v>
      </c>
      <c r="E1186" t="str">
        <f>VLOOKUP(Summary!M1196,Summary!$P$42:$Q$43,2)</f>
        <v>86</v>
      </c>
      <c r="F1186">
        <f>IF(LEFT(A1186,3)="B60",20,IF(LEFT(A1186,3)="B12",30,25))+B1186*0.5+INT(Summary!M1199*20)</f>
        <v>642</v>
      </c>
      <c r="G1186">
        <f>ROUND(IF(OR(ISERROR(FIND(Summary!$P$89,CONCATENATE(C1186,D1186,E1186))),ISERROR(FIND(Summary!$Q$89,A1186))),Summary!$R$45,IF(H1186&gt;Summary!$V$3,Summary!$R$46,Summary!$R$45))*(B1186+30),0)</f>
        <v>13</v>
      </c>
      <c r="H1186">
        <f>IF(H1185&gt;Summary!$V$4,0,H1185+F1185)</f>
        <v>59626</v>
      </c>
      <c r="I1186" s="26">
        <f>DATE(YEAR(Summary!$V$2),MONTH(Summary!$V$2),DAY(Summary!$V$2)+INT(H1186/480))</f>
        <v>43714</v>
      </c>
      <c r="J1186" s="27">
        <f t="shared" si="19"/>
        <v>0.4069444444444445</v>
      </c>
    </row>
    <row r="1187" spans="1:10">
      <c r="A1187" t="str">
        <f>VLOOKUP(Summary!M1186,Summary!$P$13:$Q$24,2)</f>
        <v>B1200-sky</v>
      </c>
      <c r="B1187">
        <f>ROUND(NORMINV(Summary!M1188,VLOOKUP(A1187,Summary!$Q$13:$S$24,3,FALSE),VLOOKUP(A1187,Summary!$Q$13:$S$24,3,FALSE)/6),-1)</f>
        <v>1190</v>
      </c>
      <c r="C1187" t="str">
        <f>IF(AND(H1187=0,C1186=Summary!$P$2),Summary!$Q$2,IF(AND(H1187=0,C1186=Summary!$Q$2),Summary!$R$2,C1186))</f>
        <v>Jared</v>
      </c>
      <c r="D1187" t="str">
        <f>IF(C1187=Summary!$P$26,VLOOKUP(Summary!M1194,Summary!$Q$26:$R$27,2),IF('Run Data'!C1187=Summary!$P$28,VLOOKUP(Summary!M1194,Summary!$Q$28:$R$29,2),VLOOKUP(Summary!M1194,Summary!$Q$30:$R$32,2)))</f>
        <v>Sprig 3</v>
      </c>
      <c r="E1187" t="str">
        <f>VLOOKUP(Summary!M1197,Summary!$P$42:$Q$43,2)</f>
        <v>86</v>
      </c>
      <c r="F1187">
        <f>IF(LEFT(A1187,3)="B60",20,IF(LEFT(A1187,3)="B12",30,25))+B1187*0.5+INT(Summary!M1200*20)</f>
        <v>641</v>
      </c>
      <c r="G1187">
        <f>ROUND(IF(OR(ISERROR(FIND(Summary!$P$89,CONCATENATE(C1187,D1187,E1187))),ISERROR(FIND(Summary!$Q$89,A1187))),Summary!$R$45,IF(H1187&gt;Summary!$V$3,Summary!$R$46,Summary!$R$45))*(B1187+30),0)</f>
        <v>12</v>
      </c>
      <c r="H1187">
        <f>IF(H1186&gt;Summary!$V$4,0,H1186+F1186)</f>
        <v>60268</v>
      </c>
      <c r="I1187" s="26">
        <f>DATE(YEAR(Summary!$V$2),MONTH(Summary!$V$2),DAY(Summary!$V$2)+INT(H1187/480))</f>
        <v>43715</v>
      </c>
      <c r="J1187" s="27">
        <f t="shared" si="19"/>
        <v>0.51944444444444449</v>
      </c>
    </row>
    <row r="1188" spans="1:10">
      <c r="A1188" t="str">
        <f>VLOOKUP(Summary!M1187,Summary!$P$13:$Q$24,2)</f>
        <v>B1200-fire</v>
      </c>
      <c r="B1188">
        <f>ROUND(NORMINV(Summary!M1189,VLOOKUP(A1188,Summary!$Q$13:$S$24,3,FALSE),VLOOKUP(A1188,Summary!$Q$13:$S$24,3,FALSE)/6),-1)</f>
        <v>1510</v>
      </c>
      <c r="C1188" t="str">
        <f>IF(AND(H1188=0,C1187=Summary!$P$2),Summary!$Q$2,IF(AND(H1188=0,C1187=Summary!$Q$2),Summary!$R$2,C1187))</f>
        <v>Jared</v>
      </c>
      <c r="D1188" t="str">
        <f>IF(C1188=Summary!$P$26,VLOOKUP(Summary!M1195,Summary!$Q$26:$R$27,2),IF('Run Data'!C1188=Summary!$P$28,VLOOKUP(Summary!M1195,Summary!$Q$28:$R$29,2),VLOOKUP(Summary!M1195,Summary!$Q$30:$R$32,2)))</f>
        <v>Sprig 2</v>
      </c>
      <c r="E1188" t="str">
        <f>VLOOKUP(Summary!M1198,Summary!$P$42:$Q$43,2)</f>
        <v>86</v>
      </c>
      <c r="F1188">
        <f>IF(LEFT(A1188,3)="B60",20,IF(LEFT(A1188,3)="B12",30,25))+B1188*0.5+INT(Summary!M1201*20)</f>
        <v>791</v>
      </c>
      <c r="G1188">
        <f>ROUND(IF(OR(ISERROR(FIND(Summary!$P$89,CONCATENATE(C1188,D1188,E1188))),ISERROR(FIND(Summary!$Q$89,A1188))),Summary!$R$45,IF(H1188&gt;Summary!$V$3,Summary!$R$46,Summary!$R$45))*(B1188+30),0)</f>
        <v>15</v>
      </c>
      <c r="H1188">
        <f>IF(H1187&gt;Summary!$V$4,0,H1187+F1187)</f>
        <v>60909</v>
      </c>
      <c r="I1188" s="26">
        <f>DATE(YEAR(Summary!$V$2),MONTH(Summary!$V$2),DAY(Summary!$V$2)+INT(H1188/480))</f>
        <v>43716</v>
      </c>
      <c r="J1188" s="27">
        <f t="shared" si="19"/>
        <v>0.63124999999999998</v>
      </c>
    </row>
    <row r="1189" spans="1:10">
      <c r="A1189" t="str">
        <f>VLOOKUP(Summary!M1188,Summary!$P$13:$Q$24,2)</f>
        <v>B1200-fire</v>
      </c>
      <c r="B1189">
        <f>ROUND(NORMINV(Summary!M1190,VLOOKUP(A1189,Summary!$Q$13:$S$24,3,FALSE),VLOOKUP(A1189,Summary!$Q$13:$S$24,3,FALSE)/6),-1)</f>
        <v>1130</v>
      </c>
      <c r="C1189" t="str">
        <f>IF(AND(H1189=0,C1188=Summary!$P$2),Summary!$Q$2,IF(AND(H1189=0,C1188=Summary!$Q$2),Summary!$R$2,C1188))</f>
        <v>Jared</v>
      </c>
      <c r="D1189" t="str">
        <f>IF(C1189=Summary!$P$26,VLOOKUP(Summary!M1196,Summary!$Q$26:$R$27,2),IF('Run Data'!C1189=Summary!$P$28,VLOOKUP(Summary!M1196,Summary!$Q$28:$R$29,2),VLOOKUP(Summary!M1196,Summary!$Q$30:$R$32,2)))</f>
        <v>Sprig 2</v>
      </c>
      <c r="E1189" t="str">
        <f>VLOOKUP(Summary!M1199,Summary!$P$42:$Q$43,2)</f>
        <v>86</v>
      </c>
      <c r="F1189">
        <f>IF(LEFT(A1189,3)="B60",20,IF(LEFT(A1189,3)="B12",30,25))+B1189*0.5+INT(Summary!M1202*20)</f>
        <v>598</v>
      </c>
      <c r="G1189">
        <f>ROUND(IF(OR(ISERROR(FIND(Summary!$P$89,CONCATENATE(C1189,D1189,E1189))),ISERROR(FIND(Summary!$Q$89,A1189))),Summary!$R$45,IF(H1189&gt;Summary!$V$3,Summary!$R$46,Summary!$R$45))*(B1189+30),0)</f>
        <v>12</v>
      </c>
      <c r="H1189">
        <f>IF(H1188&gt;Summary!$V$4,0,H1188+F1188)</f>
        <v>61700</v>
      </c>
      <c r="I1189" s="26">
        <f>DATE(YEAR(Summary!$V$2),MONTH(Summary!$V$2),DAY(Summary!$V$2)+INT(H1189/480))</f>
        <v>43718</v>
      </c>
      <c r="J1189" s="27">
        <f t="shared" si="19"/>
        <v>0.51388888888888895</v>
      </c>
    </row>
    <row r="1190" spans="1:10">
      <c r="A1190" t="str">
        <f>VLOOKUP(Summary!M1189,Summary!$P$13:$Q$24,2)</f>
        <v>B1700-lime</v>
      </c>
      <c r="B1190">
        <f>ROUND(NORMINV(Summary!M1191,VLOOKUP(A1190,Summary!$Q$13:$S$24,3,FALSE),VLOOKUP(A1190,Summary!$Q$13:$S$24,3,FALSE)/6),-1)</f>
        <v>450</v>
      </c>
      <c r="C1190" t="str">
        <f>IF(AND(H1190=0,C1189=Summary!$P$2),Summary!$Q$2,IF(AND(H1190=0,C1189=Summary!$Q$2),Summary!$R$2,C1189))</f>
        <v>Jared</v>
      </c>
      <c r="D1190" t="str">
        <f>IF(C1190=Summary!$P$26,VLOOKUP(Summary!M1197,Summary!$Q$26:$R$27,2),IF('Run Data'!C1190=Summary!$P$28,VLOOKUP(Summary!M1197,Summary!$Q$28:$R$29,2),VLOOKUP(Summary!M1197,Summary!$Q$30:$R$32,2)))</f>
        <v>Sprig 3</v>
      </c>
      <c r="E1190" t="str">
        <f>VLOOKUP(Summary!M1200,Summary!$P$42:$Q$43,2)</f>
        <v>86</v>
      </c>
      <c r="F1190">
        <f>IF(LEFT(A1190,3)="B60",20,IF(LEFT(A1190,3)="B12",30,25))+B1190*0.5+INT(Summary!M1203*20)</f>
        <v>259</v>
      </c>
      <c r="G1190">
        <f>ROUND(IF(OR(ISERROR(FIND(Summary!$P$89,CONCATENATE(C1190,D1190,E1190))),ISERROR(FIND(Summary!$Q$89,A1190))),Summary!$R$45,IF(H1190&gt;Summary!$V$3,Summary!$R$46,Summary!$R$45))*(B1190+30),0)</f>
        <v>58</v>
      </c>
      <c r="H1190">
        <f>IF(H1189&gt;Summary!$V$4,0,H1189+F1189)</f>
        <v>62298</v>
      </c>
      <c r="I1190" s="26">
        <f>DATE(YEAR(Summary!$V$2),MONTH(Summary!$V$2),DAY(Summary!$V$2)+INT(H1190/480))</f>
        <v>43719</v>
      </c>
      <c r="J1190" s="27">
        <f t="shared" si="19"/>
        <v>0.59583333333333333</v>
      </c>
    </row>
    <row r="1191" spans="1:10">
      <c r="A1191" t="str">
        <f>VLOOKUP(Summary!M1190,Summary!$P$13:$Q$24,2)</f>
        <v>B1200-sky</v>
      </c>
      <c r="B1191">
        <f>ROUND(NORMINV(Summary!M1192,VLOOKUP(A1191,Summary!$Q$13:$S$24,3,FALSE),VLOOKUP(A1191,Summary!$Q$13:$S$24,3,FALSE)/6),-1)</f>
        <v>1540</v>
      </c>
      <c r="C1191" t="str">
        <f>IF(AND(H1191=0,C1190=Summary!$P$2),Summary!$Q$2,IF(AND(H1191=0,C1190=Summary!$Q$2),Summary!$R$2,C1190))</f>
        <v>Jared</v>
      </c>
      <c r="D1191" t="str">
        <f>IF(C1191=Summary!$P$26,VLOOKUP(Summary!M1198,Summary!$Q$26:$R$27,2),IF('Run Data'!C1191=Summary!$P$28,VLOOKUP(Summary!M1198,Summary!$Q$28:$R$29,2),VLOOKUP(Summary!M1198,Summary!$Q$30:$R$32,2)))</f>
        <v>Sprig 3</v>
      </c>
      <c r="E1191" t="str">
        <f>VLOOKUP(Summary!M1201,Summary!$P$42:$Q$43,2)</f>
        <v>86</v>
      </c>
      <c r="F1191">
        <f>IF(LEFT(A1191,3)="B60",20,IF(LEFT(A1191,3)="B12",30,25))+B1191*0.5+INT(Summary!M1204*20)</f>
        <v>815</v>
      </c>
      <c r="G1191">
        <f>ROUND(IF(OR(ISERROR(FIND(Summary!$P$89,CONCATENATE(C1191,D1191,E1191))),ISERROR(FIND(Summary!$Q$89,A1191))),Summary!$R$45,IF(H1191&gt;Summary!$V$3,Summary!$R$46,Summary!$R$45))*(B1191+30),0)</f>
        <v>16</v>
      </c>
      <c r="H1191">
        <f>IF(H1190&gt;Summary!$V$4,0,H1190+F1190)</f>
        <v>62557</v>
      </c>
      <c r="I1191" s="26">
        <f>DATE(YEAR(Summary!$V$2),MONTH(Summary!$V$2),DAY(Summary!$V$2)+INT(H1191/480))</f>
        <v>43720</v>
      </c>
      <c r="J1191" s="27">
        <f t="shared" si="19"/>
        <v>0.44236111111111115</v>
      </c>
    </row>
    <row r="1192" spans="1:10">
      <c r="A1192" t="str">
        <f>VLOOKUP(Summary!M1191,Summary!$P$13:$Q$24,2)</f>
        <v>B1700-sky</v>
      </c>
      <c r="B1192">
        <f>ROUND(NORMINV(Summary!M1193,VLOOKUP(A1192,Summary!$Q$13:$S$24,3,FALSE),VLOOKUP(A1192,Summary!$Q$13:$S$24,3,FALSE)/6),-1)</f>
        <v>620</v>
      </c>
      <c r="C1192" t="str">
        <f>IF(AND(H1192=0,C1191=Summary!$P$2),Summary!$Q$2,IF(AND(H1192=0,C1191=Summary!$Q$2),Summary!$R$2,C1191))</f>
        <v>Jared</v>
      </c>
      <c r="D1192" t="str">
        <f>IF(C1192=Summary!$P$26,VLOOKUP(Summary!M1199,Summary!$Q$26:$R$27,2),IF('Run Data'!C1192=Summary!$P$28,VLOOKUP(Summary!M1199,Summary!$Q$28:$R$29,2),VLOOKUP(Summary!M1199,Summary!$Q$30:$R$32,2)))</f>
        <v>Sprig 1</v>
      </c>
      <c r="E1192" t="str">
        <f>VLOOKUP(Summary!M1202,Summary!$P$42:$Q$43,2)</f>
        <v>86</v>
      </c>
      <c r="F1192">
        <f>IF(LEFT(A1192,3)="B60",20,IF(LEFT(A1192,3)="B12",30,25))+B1192*0.5+INT(Summary!M1205*20)</f>
        <v>345</v>
      </c>
      <c r="G1192">
        <f>ROUND(IF(OR(ISERROR(FIND(Summary!$P$89,CONCATENATE(C1192,D1192,E1192))),ISERROR(FIND(Summary!$Q$89,A1192))),Summary!$R$45,IF(H1192&gt;Summary!$V$3,Summary!$R$46,Summary!$R$45))*(B1192+30),0)</f>
        <v>78</v>
      </c>
      <c r="H1192">
        <f>IF(H1191&gt;Summary!$V$4,0,H1191+F1191)</f>
        <v>63372</v>
      </c>
      <c r="I1192" s="26">
        <f>DATE(YEAR(Summary!$V$2),MONTH(Summary!$V$2),DAY(Summary!$V$2)+INT(H1192/480))</f>
        <v>43722</v>
      </c>
      <c r="J1192" s="27">
        <f t="shared" si="19"/>
        <v>0.34166666666666662</v>
      </c>
    </row>
    <row r="1193" spans="1:10">
      <c r="A1193" t="str">
        <f>VLOOKUP(Summary!M1192,Summary!$P$13:$Q$24,2)</f>
        <v>B1700-lime</v>
      </c>
      <c r="B1193">
        <f>ROUND(NORMINV(Summary!M1194,VLOOKUP(A1193,Summary!$Q$13:$S$24,3,FALSE),VLOOKUP(A1193,Summary!$Q$13:$S$24,3,FALSE)/6),-1)</f>
        <v>550</v>
      </c>
      <c r="C1193" t="str">
        <f>IF(AND(H1193=0,C1192=Summary!$P$2),Summary!$Q$2,IF(AND(H1193=0,C1192=Summary!$Q$2),Summary!$R$2,C1192))</f>
        <v>Jared</v>
      </c>
      <c r="D1193" t="str">
        <f>IF(C1193=Summary!$P$26,VLOOKUP(Summary!M1200,Summary!$Q$26:$R$27,2),IF('Run Data'!C1193=Summary!$P$28,VLOOKUP(Summary!M1200,Summary!$Q$28:$R$29,2),VLOOKUP(Summary!M1200,Summary!$Q$30:$R$32,2)))</f>
        <v>Sprig 3</v>
      </c>
      <c r="E1193" t="str">
        <f>VLOOKUP(Summary!M1203,Summary!$P$42:$Q$43,2)</f>
        <v>86</v>
      </c>
      <c r="F1193">
        <f>IF(LEFT(A1193,3)="B60",20,IF(LEFT(A1193,3)="B12",30,25))+B1193*0.5+INT(Summary!M1206*20)</f>
        <v>313</v>
      </c>
      <c r="G1193">
        <f>ROUND(IF(OR(ISERROR(FIND(Summary!$P$89,CONCATENATE(C1193,D1193,E1193))),ISERROR(FIND(Summary!$Q$89,A1193))),Summary!$R$45,IF(H1193&gt;Summary!$V$3,Summary!$R$46,Summary!$R$45))*(B1193+30),0)</f>
        <v>70</v>
      </c>
      <c r="H1193">
        <f>IF(H1192&gt;Summary!$V$4,0,H1192+F1192)</f>
        <v>63717</v>
      </c>
      <c r="I1193" s="26">
        <f>DATE(YEAR(Summary!$V$2),MONTH(Summary!$V$2),DAY(Summary!$V$2)+INT(H1193/480))</f>
        <v>43722</v>
      </c>
      <c r="J1193" s="27">
        <f t="shared" si="19"/>
        <v>0.58124999999999993</v>
      </c>
    </row>
    <row r="1194" spans="1:10">
      <c r="A1194" t="str">
        <f>VLOOKUP(Summary!M1193,Summary!$P$13:$Q$24,2)</f>
        <v>B1700-plum</v>
      </c>
      <c r="B1194">
        <f>ROUND(NORMINV(Summary!M1195,VLOOKUP(A1194,Summary!$Q$13:$S$24,3,FALSE),VLOOKUP(A1194,Summary!$Q$13:$S$24,3,FALSE)/6),-1)</f>
        <v>260</v>
      </c>
      <c r="C1194" t="str">
        <f>IF(AND(H1194=0,C1193=Summary!$P$2),Summary!$Q$2,IF(AND(H1194=0,C1193=Summary!$Q$2),Summary!$R$2,C1193))</f>
        <v>Jared</v>
      </c>
      <c r="D1194" t="str">
        <f>IF(C1194=Summary!$P$26,VLOOKUP(Summary!M1201,Summary!$Q$26:$R$27,2),IF('Run Data'!C1194=Summary!$P$28,VLOOKUP(Summary!M1201,Summary!$Q$28:$R$29,2),VLOOKUP(Summary!M1201,Summary!$Q$30:$R$32,2)))</f>
        <v>Sprig 2</v>
      </c>
      <c r="E1194" t="str">
        <f>VLOOKUP(Summary!M1204,Summary!$P$42:$Q$43,2)</f>
        <v>86</v>
      </c>
      <c r="F1194">
        <f>IF(LEFT(A1194,3)="B60",20,IF(LEFT(A1194,3)="B12",30,25))+B1194*0.5+INT(Summary!M1207*20)</f>
        <v>155</v>
      </c>
      <c r="G1194">
        <f>ROUND(IF(OR(ISERROR(FIND(Summary!$P$89,CONCATENATE(C1194,D1194,E1194))),ISERROR(FIND(Summary!$Q$89,A1194))),Summary!$R$45,IF(H1194&gt;Summary!$V$3,Summary!$R$46,Summary!$R$45))*(B1194+30),0)</f>
        <v>35</v>
      </c>
      <c r="H1194">
        <f>IF(H1193&gt;Summary!$V$4,0,H1193+F1193)</f>
        <v>64030</v>
      </c>
      <c r="I1194" s="26">
        <f>DATE(YEAR(Summary!$V$2),MONTH(Summary!$V$2),DAY(Summary!$V$2)+INT(H1194/480))</f>
        <v>43723</v>
      </c>
      <c r="J1194" s="27">
        <f t="shared" si="19"/>
        <v>0.46527777777777773</v>
      </c>
    </row>
    <row r="1195" spans="1:10">
      <c r="A1195" t="str">
        <f>VLOOKUP(Summary!M1194,Summary!$P$13:$Q$24,2)</f>
        <v>B1700-lime</v>
      </c>
      <c r="B1195">
        <f>ROUND(NORMINV(Summary!M1196,VLOOKUP(A1195,Summary!$Q$13:$S$24,3,FALSE),VLOOKUP(A1195,Summary!$Q$13:$S$24,3,FALSE)/6),-1)</f>
        <v>410</v>
      </c>
      <c r="C1195" t="str">
        <f>IF(AND(H1195=0,C1194=Summary!$P$2),Summary!$Q$2,IF(AND(H1195=0,C1194=Summary!$Q$2),Summary!$R$2,C1194))</f>
        <v>Jared</v>
      </c>
      <c r="D1195" t="str">
        <f>IF(C1195=Summary!$P$26,VLOOKUP(Summary!M1202,Summary!$Q$26:$R$27,2),IF('Run Data'!C1195=Summary!$P$28,VLOOKUP(Summary!M1202,Summary!$Q$28:$R$29,2),VLOOKUP(Summary!M1202,Summary!$Q$30:$R$32,2)))</f>
        <v>Sprig 1</v>
      </c>
      <c r="E1195" t="str">
        <f>VLOOKUP(Summary!M1205,Summary!$P$42:$Q$43,2)</f>
        <v>86</v>
      </c>
      <c r="F1195">
        <f>IF(LEFT(A1195,3)="B60",20,IF(LEFT(A1195,3)="B12",30,25))+B1195*0.5+INT(Summary!M1208*20)</f>
        <v>236</v>
      </c>
      <c r="G1195">
        <f>ROUND(IF(OR(ISERROR(FIND(Summary!$P$89,CONCATENATE(C1195,D1195,E1195))),ISERROR(FIND(Summary!$Q$89,A1195))),Summary!$R$45,IF(H1195&gt;Summary!$V$3,Summary!$R$46,Summary!$R$45))*(B1195+30),0)</f>
        <v>53</v>
      </c>
      <c r="H1195">
        <f>IF(H1194&gt;Summary!$V$4,0,H1194+F1194)</f>
        <v>64185</v>
      </c>
      <c r="I1195" s="26">
        <f>DATE(YEAR(Summary!$V$2),MONTH(Summary!$V$2),DAY(Summary!$V$2)+INT(H1195/480))</f>
        <v>43723</v>
      </c>
      <c r="J1195" s="27">
        <f t="shared" si="19"/>
        <v>0.57291666666666663</v>
      </c>
    </row>
    <row r="1196" spans="1:10">
      <c r="A1196" t="str">
        <f>VLOOKUP(Summary!M1195,Summary!$P$13:$Q$24,2)</f>
        <v>B1200-plum</v>
      </c>
      <c r="B1196">
        <f>ROUND(NORMINV(Summary!M1197,VLOOKUP(A1196,Summary!$Q$13:$S$24,3,FALSE),VLOOKUP(A1196,Summary!$Q$13:$S$24,3,FALSE)/6),-1)</f>
        <v>470</v>
      </c>
      <c r="C1196" t="str">
        <f>IF(AND(H1196=0,C1195=Summary!$P$2),Summary!$Q$2,IF(AND(H1196=0,C1195=Summary!$Q$2),Summary!$R$2,C1195))</f>
        <v>Jared</v>
      </c>
      <c r="D1196" t="str">
        <f>IF(C1196=Summary!$P$26,VLOOKUP(Summary!M1203,Summary!$Q$26:$R$27,2),IF('Run Data'!C1196=Summary!$P$28,VLOOKUP(Summary!M1203,Summary!$Q$28:$R$29,2),VLOOKUP(Summary!M1203,Summary!$Q$30:$R$32,2)))</f>
        <v>Sprig 2</v>
      </c>
      <c r="E1196" t="str">
        <f>VLOOKUP(Summary!M1206,Summary!$P$42:$Q$43,2)</f>
        <v>86</v>
      </c>
      <c r="F1196">
        <f>IF(LEFT(A1196,3)="B60",20,IF(LEFT(A1196,3)="B12",30,25))+B1196*0.5+INT(Summary!M1209*20)</f>
        <v>277</v>
      </c>
      <c r="G1196">
        <f>ROUND(IF(OR(ISERROR(FIND(Summary!$P$89,CONCATENATE(C1196,D1196,E1196))),ISERROR(FIND(Summary!$Q$89,A1196))),Summary!$R$45,IF(H1196&gt;Summary!$V$3,Summary!$R$46,Summary!$R$45))*(B1196+30),0)</f>
        <v>5</v>
      </c>
      <c r="H1196">
        <f>IF(H1195&gt;Summary!$V$4,0,H1195+F1195)</f>
        <v>64421</v>
      </c>
      <c r="I1196" s="26">
        <f>DATE(YEAR(Summary!$V$2),MONTH(Summary!$V$2),DAY(Summary!$V$2)+INT(H1196/480))</f>
        <v>43724</v>
      </c>
      <c r="J1196" s="27">
        <f t="shared" si="19"/>
        <v>0.40347222222222223</v>
      </c>
    </row>
    <row r="1197" spans="1:10">
      <c r="A1197" t="str">
        <f>VLOOKUP(Summary!M1196,Summary!$P$13:$Q$24,2)</f>
        <v>B1200-fire</v>
      </c>
      <c r="B1197">
        <f>ROUND(NORMINV(Summary!M1198,VLOOKUP(A1197,Summary!$Q$13:$S$24,3,FALSE),VLOOKUP(A1197,Summary!$Q$13:$S$24,3,FALSE)/6),-1)</f>
        <v>1280</v>
      </c>
      <c r="C1197" t="str">
        <f>IF(AND(H1197=0,C1196=Summary!$P$2),Summary!$Q$2,IF(AND(H1197=0,C1196=Summary!$Q$2),Summary!$R$2,C1196))</f>
        <v>Jared</v>
      </c>
      <c r="D1197" t="str">
        <f>IF(C1197=Summary!$P$26,VLOOKUP(Summary!M1204,Summary!$Q$26:$R$27,2),IF('Run Data'!C1197=Summary!$P$28,VLOOKUP(Summary!M1204,Summary!$Q$28:$R$29,2),VLOOKUP(Summary!M1204,Summary!$Q$30:$R$32,2)))</f>
        <v>Sprig 3</v>
      </c>
      <c r="E1197" t="str">
        <f>VLOOKUP(Summary!M1207,Summary!$P$42:$Q$43,2)</f>
        <v>86</v>
      </c>
      <c r="F1197">
        <f>IF(LEFT(A1197,3)="B60",20,IF(LEFT(A1197,3)="B12",30,25))+B1197*0.5+INT(Summary!M1210*20)</f>
        <v>680</v>
      </c>
      <c r="G1197">
        <f>ROUND(IF(OR(ISERROR(FIND(Summary!$P$89,CONCATENATE(C1197,D1197,E1197))),ISERROR(FIND(Summary!$Q$89,A1197))),Summary!$R$45,IF(H1197&gt;Summary!$V$3,Summary!$R$46,Summary!$R$45))*(B1197+30),0)</f>
        <v>13</v>
      </c>
      <c r="H1197">
        <f>IF(H1196&gt;Summary!$V$4,0,H1196+F1196)</f>
        <v>64698</v>
      </c>
      <c r="I1197" s="26">
        <f>DATE(YEAR(Summary!$V$2),MONTH(Summary!$V$2),DAY(Summary!$V$2)+INT(H1197/480))</f>
        <v>43724</v>
      </c>
      <c r="J1197" s="27">
        <f t="shared" si="19"/>
        <v>0.59583333333333333</v>
      </c>
    </row>
    <row r="1198" spans="1:10">
      <c r="A1198" t="str">
        <f>VLOOKUP(Summary!M1197,Summary!$P$13:$Q$24,2)</f>
        <v>B1200-lime</v>
      </c>
      <c r="B1198">
        <f>ROUND(NORMINV(Summary!M1199,VLOOKUP(A1198,Summary!$Q$13:$S$24,3,FALSE),VLOOKUP(A1198,Summary!$Q$13:$S$24,3,FALSE)/6),-1)</f>
        <v>650</v>
      </c>
      <c r="C1198" t="str">
        <f>IF(AND(H1198=0,C1197=Summary!$P$2),Summary!$Q$2,IF(AND(H1198=0,C1197=Summary!$Q$2),Summary!$R$2,C1197))</f>
        <v>Jared</v>
      </c>
      <c r="D1198" t="str">
        <f>IF(C1198=Summary!$P$26,VLOOKUP(Summary!M1205,Summary!$Q$26:$R$27,2),IF('Run Data'!C1198=Summary!$P$28,VLOOKUP(Summary!M1205,Summary!$Q$28:$R$29,2),VLOOKUP(Summary!M1205,Summary!$Q$30:$R$32,2)))</f>
        <v>Sprig 2</v>
      </c>
      <c r="E1198" t="str">
        <f>VLOOKUP(Summary!M1208,Summary!$P$42:$Q$43,2)</f>
        <v>86</v>
      </c>
      <c r="F1198">
        <f>IF(LEFT(A1198,3)="B60",20,IF(LEFT(A1198,3)="B12",30,25))+B1198*0.5+INT(Summary!M1211*20)</f>
        <v>362</v>
      </c>
      <c r="G1198">
        <f>ROUND(IF(OR(ISERROR(FIND(Summary!$P$89,CONCATENATE(C1198,D1198,E1198))),ISERROR(FIND(Summary!$Q$89,A1198))),Summary!$R$45,IF(H1198&gt;Summary!$V$3,Summary!$R$46,Summary!$R$45))*(B1198+30),0)</f>
        <v>7</v>
      </c>
      <c r="H1198">
        <f>IF(H1197&gt;Summary!$V$4,0,H1197+F1197)</f>
        <v>65378</v>
      </c>
      <c r="I1198" s="26">
        <f>DATE(YEAR(Summary!$V$2),MONTH(Summary!$V$2),DAY(Summary!$V$2)+INT(H1198/480))</f>
        <v>43726</v>
      </c>
      <c r="J1198" s="27">
        <f t="shared" si="19"/>
        <v>0.40138888888888885</v>
      </c>
    </row>
    <row r="1199" spans="1:10">
      <c r="A1199" t="str">
        <f>VLOOKUP(Summary!M1198,Summary!$P$13:$Q$24,2)</f>
        <v>B1200-lime</v>
      </c>
      <c r="B1199">
        <f>ROUND(NORMINV(Summary!M1200,VLOOKUP(A1199,Summary!$Q$13:$S$24,3,FALSE),VLOOKUP(A1199,Summary!$Q$13:$S$24,3,FALSE)/6),-1)</f>
        <v>920</v>
      </c>
      <c r="C1199" t="str">
        <f>IF(AND(H1199=0,C1198=Summary!$P$2),Summary!$Q$2,IF(AND(H1199=0,C1198=Summary!$Q$2),Summary!$R$2,C1198))</f>
        <v>Jared</v>
      </c>
      <c r="D1199" t="str">
        <f>IF(C1199=Summary!$P$26,VLOOKUP(Summary!M1206,Summary!$Q$26:$R$27,2),IF('Run Data'!C1199=Summary!$P$28,VLOOKUP(Summary!M1206,Summary!$Q$28:$R$29,2),VLOOKUP(Summary!M1206,Summary!$Q$30:$R$32,2)))</f>
        <v>Sprig 3</v>
      </c>
      <c r="E1199" t="str">
        <f>VLOOKUP(Summary!M1209,Summary!$P$42:$Q$43,2)</f>
        <v>86</v>
      </c>
      <c r="F1199">
        <f>IF(LEFT(A1199,3)="B60",20,IF(LEFT(A1199,3)="B12",30,25))+B1199*0.5+INT(Summary!M1212*20)</f>
        <v>509</v>
      </c>
      <c r="G1199">
        <f>ROUND(IF(OR(ISERROR(FIND(Summary!$P$89,CONCATENATE(C1199,D1199,E1199))),ISERROR(FIND(Summary!$Q$89,A1199))),Summary!$R$45,IF(H1199&gt;Summary!$V$3,Summary!$R$46,Summary!$R$45))*(B1199+30),0)</f>
        <v>10</v>
      </c>
      <c r="H1199">
        <f>IF(H1198&gt;Summary!$V$4,0,H1198+F1198)</f>
        <v>65740</v>
      </c>
      <c r="I1199" s="26">
        <f>DATE(YEAR(Summary!$V$2),MONTH(Summary!$V$2),DAY(Summary!$V$2)+INT(H1199/480))</f>
        <v>43726</v>
      </c>
      <c r="J1199" s="27">
        <f t="shared" si="19"/>
        <v>0.65277777777777779</v>
      </c>
    </row>
    <row r="1200" spans="1:10">
      <c r="A1200" t="str">
        <f>VLOOKUP(Summary!M1199,Summary!$P$13:$Q$24,2)</f>
        <v>B600-fire</v>
      </c>
      <c r="B1200">
        <f>ROUND(NORMINV(Summary!M1201,VLOOKUP(A1200,Summary!$Q$13:$S$24,3,FALSE),VLOOKUP(A1200,Summary!$Q$13:$S$24,3,FALSE)/6),-1)</f>
        <v>370</v>
      </c>
      <c r="C1200" t="str">
        <f>IF(AND(H1200=0,C1199=Summary!$P$2),Summary!$Q$2,IF(AND(H1200=0,C1199=Summary!$Q$2),Summary!$R$2,C1199))</f>
        <v>Jared</v>
      </c>
      <c r="D1200" t="str">
        <f>IF(C1200=Summary!$P$26,VLOOKUP(Summary!M1207,Summary!$Q$26:$R$27,2),IF('Run Data'!C1200=Summary!$P$28,VLOOKUP(Summary!M1207,Summary!$Q$28:$R$29,2),VLOOKUP(Summary!M1207,Summary!$Q$30:$R$32,2)))</f>
        <v>Sprig 1</v>
      </c>
      <c r="E1200" t="str">
        <f>VLOOKUP(Summary!M1210,Summary!$P$42:$Q$43,2)</f>
        <v>86</v>
      </c>
      <c r="F1200">
        <f>IF(LEFT(A1200,3)="B60",20,IF(LEFT(A1200,3)="B12",30,25))+B1200*0.5+INT(Summary!M1213*20)</f>
        <v>206</v>
      </c>
      <c r="G1200">
        <f>ROUND(IF(OR(ISERROR(FIND(Summary!$P$89,CONCATENATE(C1200,D1200,E1200))),ISERROR(FIND(Summary!$Q$89,A1200))),Summary!$R$45,IF(H1200&gt;Summary!$V$3,Summary!$R$46,Summary!$R$45))*(B1200+30),0)</f>
        <v>4</v>
      </c>
      <c r="H1200">
        <f>IF(H1199&gt;Summary!$V$4,0,H1199+F1199)</f>
        <v>66249</v>
      </c>
      <c r="I1200" s="26">
        <f>DATE(YEAR(Summary!$V$2),MONTH(Summary!$V$2),DAY(Summary!$V$2)+INT(H1200/480))</f>
        <v>43728</v>
      </c>
      <c r="J1200" s="27">
        <f t="shared" si="19"/>
        <v>0.33958333333333335</v>
      </c>
    </row>
    <row r="1201" spans="1:10">
      <c r="A1201" t="str">
        <f>VLOOKUP(Summary!M1200,Summary!$P$13:$Q$24,2)</f>
        <v>B1700-sky</v>
      </c>
      <c r="B1201">
        <f>ROUND(NORMINV(Summary!M1202,VLOOKUP(A1201,Summary!$Q$13:$S$24,3,FALSE),VLOOKUP(A1201,Summary!$Q$13:$S$24,3,FALSE)/6),-1)</f>
        <v>460</v>
      </c>
      <c r="C1201" t="str">
        <f>IF(AND(H1201=0,C1200=Summary!$P$2),Summary!$Q$2,IF(AND(H1201=0,C1200=Summary!$Q$2),Summary!$R$2,C1200))</f>
        <v>Jared</v>
      </c>
      <c r="D1201" t="str">
        <f>IF(C1201=Summary!$P$26,VLOOKUP(Summary!M1208,Summary!$Q$26:$R$27,2),IF('Run Data'!C1201=Summary!$P$28,VLOOKUP(Summary!M1208,Summary!$Q$28:$R$29,2),VLOOKUP(Summary!M1208,Summary!$Q$30:$R$32,2)))</f>
        <v>Sprig 2</v>
      </c>
      <c r="E1201" t="str">
        <f>VLOOKUP(Summary!M1211,Summary!$P$42:$Q$43,2)</f>
        <v>86</v>
      </c>
      <c r="F1201">
        <f>IF(LEFT(A1201,3)="B60",20,IF(LEFT(A1201,3)="B12",30,25))+B1201*0.5+INT(Summary!M1214*20)</f>
        <v>271</v>
      </c>
      <c r="G1201">
        <f>ROUND(IF(OR(ISERROR(FIND(Summary!$P$89,CONCATENATE(C1201,D1201,E1201))),ISERROR(FIND(Summary!$Q$89,A1201))),Summary!$R$45,IF(H1201&gt;Summary!$V$3,Summary!$R$46,Summary!$R$45))*(B1201+30),0)</f>
        <v>59</v>
      </c>
      <c r="H1201">
        <f>IF(H1200&gt;Summary!$V$4,0,H1200+F1200)</f>
        <v>66455</v>
      </c>
      <c r="I1201" s="26">
        <f>DATE(YEAR(Summary!$V$2),MONTH(Summary!$V$2),DAY(Summary!$V$2)+INT(H1201/480))</f>
        <v>43728</v>
      </c>
      <c r="J1201" s="27">
        <f t="shared" si="19"/>
        <v>0.4826388888888889</v>
      </c>
    </row>
    <row r="1202" spans="1:10">
      <c r="A1202" t="str">
        <f>VLOOKUP(Summary!M1201,Summary!$P$13:$Q$24,2)</f>
        <v>B1200-plum</v>
      </c>
      <c r="B1202">
        <f>ROUND(NORMINV(Summary!M1203,VLOOKUP(A1202,Summary!$Q$13:$S$24,3,FALSE),VLOOKUP(A1202,Summary!$Q$13:$S$24,3,FALSE)/6),-1)</f>
        <v>450</v>
      </c>
      <c r="C1202" t="str">
        <f>IF(AND(H1202=0,C1201=Summary!$P$2),Summary!$Q$2,IF(AND(H1202=0,C1201=Summary!$Q$2),Summary!$R$2,C1201))</f>
        <v>Jared</v>
      </c>
      <c r="D1202" t="str">
        <f>IF(C1202=Summary!$P$26,VLOOKUP(Summary!M1209,Summary!$Q$26:$R$27,2),IF('Run Data'!C1202=Summary!$P$28,VLOOKUP(Summary!M1209,Summary!$Q$28:$R$29,2),VLOOKUP(Summary!M1209,Summary!$Q$30:$R$32,2)))</f>
        <v>Sprig 3</v>
      </c>
      <c r="E1202" t="str">
        <f>VLOOKUP(Summary!M1212,Summary!$P$42:$Q$43,2)</f>
        <v>87b</v>
      </c>
      <c r="F1202">
        <f>IF(LEFT(A1202,3)="B60",20,IF(LEFT(A1202,3)="B12",30,25))+B1202*0.5+INT(Summary!M1215*20)</f>
        <v>258</v>
      </c>
      <c r="G1202">
        <f>ROUND(IF(OR(ISERROR(FIND(Summary!$P$89,CONCATENATE(C1202,D1202,E1202))),ISERROR(FIND(Summary!$Q$89,A1202))),Summary!$R$45,IF(H1202&gt;Summary!$V$3,Summary!$R$46,Summary!$R$45))*(B1202+30),0)</f>
        <v>5</v>
      </c>
      <c r="H1202">
        <f>IF(H1201&gt;Summary!$V$4,0,H1201+F1201)</f>
        <v>66726</v>
      </c>
      <c r="I1202" s="26">
        <f>DATE(YEAR(Summary!$V$2),MONTH(Summary!$V$2),DAY(Summary!$V$2)+INT(H1202/480))</f>
        <v>43729</v>
      </c>
      <c r="J1202" s="27">
        <f t="shared" si="19"/>
        <v>0.33749999999999997</v>
      </c>
    </row>
    <row r="1203" spans="1:10">
      <c r="A1203" t="str">
        <f>VLOOKUP(Summary!M1202,Summary!$P$13:$Q$24,2)</f>
        <v>B600-lime</v>
      </c>
      <c r="B1203">
        <f>ROUND(NORMINV(Summary!M1204,VLOOKUP(A1203,Summary!$Q$13:$S$24,3,FALSE),VLOOKUP(A1203,Summary!$Q$13:$S$24,3,FALSE)/6),-1)</f>
        <v>340</v>
      </c>
      <c r="C1203" t="str">
        <f>IF(AND(H1203=0,C1202=Summary!$P$2),Summary!$Q$2,IF(AND(H1203=0,C1202=Summary!$Q$2),Summary!$R$2,C1202))</f>
        <v>Jared</v>
      </c>
      <c r="D1203" t="str">
        <f>IF(C1203=Summary!$P$26,VLOOKUP(Summary!M1210,Summary!$Q$26:$R$27,2),IF('Run Data'!C1203=Summary!$P$28,VLOOKUP(Summary!M1210,Summary!$Q$28:$R$29,2),VLOOKUP(Summary!M1210,Summary!$Q$30:$R$32,2)))</f>
        <v>Sprig 2</v>
      </c>
      <c r="E1203" t="str">
        <f>VLOOKUP(Summary!M1213,Summary!$P$42:$Q$43,2)</f>
        <v>86</v>
      </c>
      <c r="F1203">
        <f>IF(LEFT(A1203,3)="B60",20,IF(LEFT(A1203,3)="B12",30,25))+B1203*0.5+INT(Summary!M1216*20)</f>
        <v>202</v>
      </c>
      <c r="G1203">
        <f>ROUND(IF(OR(ISERROR(FIND(Summary!$P$89,CONCATENATE(C1203,D1203,E1203))),ISERROR(FIND(Summary!$Q$89,A1203))),Summary!$R$45,IF(H1203&gt;Summary!$V$3,Summary!$R$46,Summary!$R$45))*(B1203+30),0)</f>
        <v>4</v>
      </c>
      <c r="H1203">
        <f>IF(H1202&gt;Summary!$V$4,0,H1202+F1202)</f>
        <v>66984</v>
      </c>
      <c r="I1203" s="26">
        <f>DATE(YEAR(Summary!$V$2),MONTH(Summary!$V$2),DAY(Summary!$V$2)+INT(H1203/480))</f>
        <v>43729</v>
      </c>
      <c r="J1203" s="27">
        <f t="shared" si="19"/>
        <v>0.51666666666666672</v>
      </c>
    </row>
    <row r="1204" spans="1:10">
      <c r="A1204" t="str">
        <f>VLOOKUP(Summary!M1203,Summary!$P$13:$Q$24,2)</f>
        <v>B1200-fire</v>
      </c>
      <c r="B1204">
        <f>ROUND(NORMINV(Summary!M1205,VLOOKUP(A1204,Summary!$Q$13:$S$24,3,FALSE),VLOOKUP(A1204,Summary!$Q$13:$S$24,3,FALSE)/6),-1)</f>
        <v>1220</v>
      </c>
      <c r="C1204" t="str">
        <f>IF(AND(H1204=0,C1203=Summary!$P$2),Summary!$Q$2,IF(AND(H1204=0,C1203=Summary!$Q$2),Summary!$R$2,C1203))</f>
        <v>Jared</v>
      </c>
      <c r="D1204" t="str">
        <f>IF(C1204=Summary!$P$26,VLOOKUP(Summary!M1211,Summary!$Q$26:$R$27,2),IF('Run Data'!C1204=Summary!$P$28,VLOOKUP(Summary!M1211,Summary!$Q$28:$R$29,2),VLOOKUP(Summary!M1211,Summary!$Q$30:$R$32,2)))</f>
        <v>Sprig 2</v>
      </c>
      <c r="E1204" t="str">
        <f>VLOOKUP(Summary!M1214,Summary!$P$42:$Q$43,2)</f>
        <v>86</v>
      </c>
      <c r="F1204">
        <f>IF(LEFT(A1204,3)="B60",20,IF(LEFT(A1204,3)="B12",30,25))+B1204*0.5+INT(Summary!M1217*20)</f>
        <v>658</v>
      </c>
      <c r="G1204">
        <f>ROUND(IF(OR(ISERROR(FIND(Summary!$P$89,CONCATENATE(C1204,D1204,E1204))),ISERROR(FIND(Summary!$Q$89,A1204))),Summary!$R$45,IF(H1204&gt;Summary!$V$3,Summary!$R$46,Summary!$R$45))*(B1204+30),0)</f>
        <v>13</v>
      </c>
      <c r="H1204">
        <f>IF(H1203&gt;Summary!$V$4,0,H1203+F1203)</f>
        <v>67186</v>
      </c>
      <c r="I1204" s="26">
        <f>DATE(YEAR(Summary!$V$2),MONTH(Summary!$V$2),DAY(Summary!$V$2)+INT(H1204/480))</f>
        <v>43729</v>
      </c>
      <c r="J1204" s="27">
        <f t="shared" si="19"/>
        <v>0.65694444444444444</v>
      </c>
    </row>
    <row r="1205" spans="1:10">
      <c r="A1205" t="str">
        <f>VLOOKUP(Summary!M1204,Summary!$P$13:$Q$24,2)</f>
        <v>B1700-sky</v>
      </c>
      <c r="B1205">
        <f>ROUND(NORMINV(Summary!M1206,VLOOKUP(A1205,Summary!$Q$13:$S$24,3,FALSE),VLOOKUP(A1205,Summary!$Q$13:$S$24,3,FALSE)/6),-1)</f>
        <v>590</v>
      </c>
      <c r="C1205" t="str">
        <f>IF(AND(H1205=0,C1204=Summary!$P$2),Summary!$Q$2,IF(AND(H1205=0,C1204=Summary!$Q$2),Summary!$R$2,C1204))</f>
        <v>Jared</v>
      </c>
      <c r="D1205" t="str">
        <f>IF(C1205=Summary!$P$26,VLOOKUP(Summary!M1212,Summary!$Q$26:$R$27,2),IF('Run Data'!C1205=Summary!$P$28,VLOOKUP(Summary!M1212,Summary!$Q$28:$R$29,2),VLOOKUP(Summary!M1212,Summary!$Q$30:$R$32,2)))</f>
        <v>Sprig 3</v>
      </c>
      <c r="E1205" t="str">
        <f>VLOOKUP(Summary!M1215,Summary!$P$42:$Q$43,2)</f>
        <v>86</v>
      </c>
      <c r="F1205">
        <f>IF(LEFT(A1205,3)="B60",20,IF(LEFT(A1205,3)="B12",30,25))+B1205*0.5+INT(Summary!M1218*20)</f>
        <v>334</v>
      </c>
      <c r="G1205">
        <f>ROUND(IF(OR(ISERROR(FIND(Summary!$P$89,CONCATENATE(C1205,D1205,E1205))),ISERROR(FIND(Summary!$Q$89,A1205))),Summary!$R$45,IF(H1205&gt;Summary!$V$3,Summary!$R$46,Summary!$R$45))*(B1205+30),0)</f>
        <v>74</v>
      </c>
      <c r="H1205">
        <f>IF(H1204&gt;Summary!$V$4,0,H1204+F1204)</f>
        <v>67844</v>
      </c>
      <c r="I1205" s="26">
        <f>DATE(YEAR(Summary!$V$2),MONTH(Summary!$V$2),DAY(Summary!$V$2)+INT(H1205/480))</f>
        <v>43731</v>
      </c>
      <c r="J1205" s="27">
        <f t="shared" si="19"/>
        <v>0.44722222222222219</v>
      </c>
    </row>
    <row r="1206" spans="1:10">
      <c r="A1206" t="str">
        <f>VLOOKUP(Summary!M1205,Summary!$P$13:$Q$24,2)</f>
        <v>B1200-fire</v>
      </c>
      <c r="B1206">
        <f>ROUND(NORMINV(Summary!M1207,VLOOKUP(A1206,Summary!$Q$13:$S$24,3,FALSE),VLOOKUP(A1206,Summary!$Q$13:$S$24,3,FALSE)/6),-1)</f>
        <v>760</v>
      </c>
      <c r="C1206" t="str">
        <f>IF(AND(H1206=0,C1205=Summary!$P$2),Summary!$Q$2,IF(AND(H1206=0,C1205=Summary!$Q$2),Summary!$R$2,C1205))</f>
        <v>Jared</v>
      </c>
      <c r="D1206" t="str">
        <f>IF(C1206=Summary!$P$26,VLOOKUP(Summary!M1213,Summary!$Q$26:$R$27,2),IF('Run Data'!C1206=Summary!$P$28,VLOOKUP(Summary!M1213,Summary!$Q$28:$R$29,2),VLOOKUP(Summary!M1213,Summary!$Q$30:$R$32,2)))</f>
        <v>Sprig 1</v>
      </c>
      <c r="E1206" t="str">
        <f>VLOOKUP(Summary!M1216,Summary!$P$42:$Q$43,2)</f>
        <v>86</v>
      </c>
      <c r="F1206">
        <f>IF(LEFT(A1206,3)="B60",20,IF(LEFT(A1206,3)="B12",30,25))+B1206*0.5+INT(Summary!M1219*20)</f>
        <v>428</v>
      </c>
      <c r="G1206">
        <f>ROUND(IF(OR(ISERROR(FIND(Summary!$P$89,CONCATENATE(C1206,D1206,E1206))),ISERROR(FIND(Summary!$Q$89,A1206))),Summary!$R$45,IF(H1206&gt;Summary!$V$3,Summary!$R$46,Summary!$R$45))*(B1206+30),0)</f>
        <v>8</v>
      </c>
      <c r="H1206">
        <f>IF(H1205&gt;Summary!$V$4,0,H1205+F1205)</f>
        <v>68178</v>
      </c>
      <c r="I1206" s="26">
        <f>DATE(YEAR(Summary!$V$2),MONTH(Summary!$V$2),DAY(Summary!$V$2)+INT(H1206/480))</f>
        <v>43732</v>
      </c>
      <c r="J1206" s="27">
        <f t="shared" si="19"/>
        <v>0.34583333333333338</v>
      </c>
    </row>
    <row r="1207" spans="1:10">
      <c r="A1207" t="str">
        <f>VLOOKUP(Summary!M1206,Summary!$P$13:$Q$24,2)</f>
        <v>B1200-lime</v>
      </c>
      <c r="B1207">
        <f>ROUND(NORMINV(Summary!M1208,VLOOKUP(A1207,Summary!$Q$13:$S$24,3,FALSE),VLOOKUP(A1207,Summary!$Q$13:$S$24,3,FALSE)/6),-1)</f>
        <v>730</v>
      </c>
      <c r="C1207" t="str">
        <f>IF(AND(H1207=0,C1206=Summary!$P$2),Summary!$Q$2,IF(AND(H1207=0,C1206=Summary!$Q$2),Summary!$R$2,C1206))</f>
        <v>Jared</v>
      </c>
      <c r="D1207" t="str">
        <f>IF(C1207=Summary!$P$26,VLOOKUP(Summary!M1214,Summary!$Q$26:$R$27,2),IF('Run Data'!C1207=Summary!$P$28,VLOOKUP(Summary!M1214,Summary!$Q$28:$R$29,2),VLOOKUP(Summary!M1214,Summary!$Q$30:$R$32,2)))</f>
        <v>Sprig 3</v>
      </c>
      <c r="E1207" t="str">
        <f>VLOOKUP(Summary!M1217,Summary!$P$42:$Q$43,2)</f>
        <v>87b</v>
      </c>
      <c r="F1207">
        <f>IF(LEFT(A1207,3)="B60",20,IF(LEFT(A1207,3)="B12",30,25))+B1207*0.5+INT(Summary!M1220*20)</f>
        <v>397</v>
      </c>
      <c r="G1207">
        <f>ROUND(IF(OR(ISERROR(FIND(Summary!$P$89,CONCATENATE(C1207,D1207,E1207))),ISERROR(FIND(Summary!$Q$89,A1207))),Summary!$R$45,IF(H1207&gt;Summary!$V$3,Summary!$R$46,Summary!$R$45))*(B1207+30),0)</f>
        <v>8</v>
      </c>
      <c r="H1207">
        <f>IF(H1206&gt;Summary!$V$4,0,H1206+F1206)</f>
        <v>68606</v>
      </c>
      <c r="I1207" s="26">
        <f>DATE(YEAR(Summary!$V$2),MONTH(Summary!$V$2),DAY(Summary!$V$2)+INT(H1207/480))</f>
        <v>43732</v>
      </c>
      <c r="J1207" s="27">
        <f t="shared" si="19"/>
        <v>0.6430555555555556</v>
      </c>
    </row>
    <row r="1208" spans="1:10">
      <c r="A1208" t="str">
        <f>VLOOKUP(Summary!M1207,Summary!$P$13:$Q$24,2)</f>
        <v>B600-plum</v>
      </c>
      <c r="B1208">
        <f>ROUND(NORMINV(Summary!M1209,VLOOKUP(A1208,Summary!$Q$13:$S$24,3,FALSE),VLOOKUP(A1208,Summary!$Q$13:$S$24,3,FALSE)/6),-1)</f>
        <v>210</v>
      </c>
      <c r="C1208" t="str">
        <f>IF(AND(H1208=0,C1207=Summary!$P$2),Summary!$Q$2,IF(AND(H1208=0,C1207=Summary!$Q$2),Summary!$R$2,C1207))</f>
        <v>Jared</v>
      </c>
      <c r="D1208" t="str">
        <f>IF(C1208=Summary!$P$26,VLOOKUP(Summary!M1215,Summary!$Q$26:$R$27,2),IF('Run Data'!C1208=Summary!$P$28,VLOOKUP(Summary!M1215,Summary!$Q$28:$R$29,2),VLOOKUP(Summary!M1215,Summary!$Q$30:$R$32,2)))</f>
        <v>Sprig 1</v>
      </c>
      <c r="E1208" t="str">
        <f>VLOOKUP(Summary!M1218,Summary!$P$42:$Q$43,2)</f>
        <v>86</v>
      </c>
      <c r="F1208">
        <f>IF(LEFT(A1208,3)="B60",20,IF(LEFT(A1208,3)="B12",30,25))+B1208*0.5+INT(Summary!M1221*20)</f>
        <v>125</v>
      </c>
      <c r="G1208">
        <f>ROUND(IF(OR(ISERROR(FIND(Summary!$P$89,CONCATENATE(C1208,D1208,E1208))),ISERROR(FIND(Summary!$Q$89,A1208))),Summary!$R$45,IF(H1208&gt;Summary!$V$3,Summary!$R$46,Summary!$R$45))*(B1208+30),0)</f>
        <v>2</v>
      </c>
      <c r="H1208">
        <f>IF(H1207&gt;Summary!$V$4,0,H1207+F1207)</f>
        <v>69003</v>
      </c>
      <c r="I1208" s="26">
        <f>DATE(YEAR(Summary!$V$2),MONTH(Summary!$V$2),DAY(Summary!$V$2)+INT(H1208/480))</f>
        <v>43733</v>
      </c>
      <c r="J1208" s="27">
        <f t="shared" si="19"/>
        <v>0.5854166666666667</v>
      </c>
    </row>
    <row r="1209" spans="1:10">
      <c r="A1209" t="str">
        <f>VLOOKUP(Summary!M1208,Summary!$P$13:$Q$24,2)</f>
        <v>B1200-plum</v>
      </c>
      <c r="B1209">
        <f>ROUND(NORMINV(Summary!M1210,VLOOKUP(A1209,Summary!$Q$13:$S$24,3,FALSE),VLOOKUP(A1209,Summary!$Q$13:$S$24,3,FALSE)/6),-1)</f>
        <v>450</v>
      </c>
      <c r="C1209" t="str">
        <f>IF(AND(H1209=0,C1208=Summary!$P$2),Summary!$Q$2,IF(AND(H1209=0,C1208=Summary!$Q$2),Summary!$R$2,C1208))</f>
        <v>Jared</v>
      </c>
      <c r="D1209" t="str">
        <f>IF(C1209=Summary!$P$26,VLOOKUP(Summary!M1216,Summary!$Q$26:$R$27,2),IF('Run Data'!C1209=Summary!$P$28,VLOOKUP(Summary!M1216,Summary!$Q$28:$R$29,2),VLOOKUP(Summary!M1216,Summary!$Q$30:$R$32,2)))</f>
        <v>Sprig 3</v>
      </c>
      <c r="E1209" t="str">
        <f>VLOOKUP(Summary!M1219,Summary!$P$42:$Q$43,2)</f>
        <v>87b</v>
      </c>
      <c r="F1209">
        <f>IF(LEFT(A1209,3)="B60",20,IF(LEFT(A1209,3)="B12",30,25))+B1209*0.5+INT(Summary!M1222*20)</f>
        <v>264</v>
      </c>
      <c r="G1209">
        <f>ROUND(IF(OR(ISERROR(FIND(Summary!$P$89,CONCATENATE(C1209,D1209,E1209))),ISERROR(FIND(Summary!$Q$89,A1209))),Summary!$R$45,IF(H1209&gt;Summary!$V$3,Summary!$R$46,Summary!$R$45))*(B1209+30),0)</f>
        <v>5</v>
      </c>
      <c r="H1209">
        <f>IF(H1208&gt;Summary!$V$4,0,H1208+F1208)</f>
        <v>69128</v>
      </c>
      <c r="I1209" s="26">
        <f>DATE(YEAR(Summary!$V$2),MONTH(Summary!$V$2),DAY(Summary!$V$2)+INT(H1209/480))</f>
        <v>43734</v>
      </c>
      <c r="J1209" s="27">
        <f t="shared" si="19"/>
        <v>0.33888888888888885</v>
      </c>
    </row>
    <row r="1210" spans="1:10">
      <c r="A1210" t="str">
        <f>VLOOKUP(Summary!M1209,Summary!$P$13:$Q$24,2)</f>
        <v>B1200-lime</v>
      </c>
      <c r="B1210">
        <f>ROUND(NORMINV(Summary!M1211,VLOOKUP(A1210,Summary!$Q$13:$S$24,3,FALSE),VLOOKUP(A1210,Summary!$Q$13:$S$24,3,FALSE)/6),-1)</f>
        <v>760</v>
      </c>
      <c r="C1210" t="str">
        <f>IF(AND(H1210=0,C1209=Summary!$P$2),Summary!$Q$2,IF(AND(H1210=0,C1209=Summary!$Q$2),Summary!$R$2,C1209))</f>
        <v>Jared</v>
      </c>
      <c r="D1210" t="str">
        <f>IF(C1210=Summary!$P$26,VLOOKUP(Summary!M1217,Summary!$Q$26:$R$27,2),IF('Run Data'!C1210=Summary!$P$28,VLOOKUP(Summary!M1217,Summary!$Q$28:$R$29,2),VLOOKUP(Summary!M1217,Summary!$Q$30:$R$32,2)))</f>
        <v>Sprig 3</v>
      </c>
      <c r="E1210" t="str">
        <f>VLOOKUP(Summary!M1220,Summary!$P$42:$Q$43,2)</f>
        <v>86</v>
      </c>
      <c r="F1210">
        <f>IF(LEFT(A1210,3)="B60",20,IF(LEFT(A1210,3)="B12",30,25))+B1210*0.5+INT(Summary!M1223*20)</f>
        <v>417</v>
      </c>
      <c r="G1210">
        <f>ROUND(IF(OR(ISERROR(FIND(Summary!$P$89,CONCATENATE(C1210,D1210,E1210))),ISERROR(FIND(Summary!$Q$89,A1210))),Summary!$R$45,IF(H1210&gt;Summary!$V$3,Summary!$R$46,Summary!$R$45))*(B1210+30),0)</f>
        <v>8</v>
      </c>
      <c r="H1210">
        <f>IF(H1209&gt;Summary!$V$4,0,H1209+F1209)</f>
        <v>69392</v>
      </c>
      <c r="I1210" s="26">
        <f>DATE(YEAR(Summary!$V$2),MONTH(Summary!$V$2),DAY(Summary!$V$2)+INT(H1210/480))</f>
        <v>43734</v>
      </c>
      <c r="J1210" s="27">
        <f t="shared" si="19"/>
        <v>0.52222222222222225</v>
      </c>
    </row>
    <row r="1211" spans="1:10">
      <c r="A1211" t="str">
        <f>VLOOKUP(Summary!M1210,Summary!$P$13:$Q$24,2)</f>
        <v>B1200-fire</v>
      </c>
      <c r="B1211">
        <f>ROUND(NORMINV(Summary!M1212,VLOOKUP(A1211,Summary!$Q$13:$S$24,3,FALSE),VLOOKUP(A1211,Summary!$Q$13:$S$24,3,FALSE)/6),-1)</f>
        <v>1540</v>
      </c>
      <c r="C1211" t="str">
        <f>IF(AND(H1211=0,C1210=Summary!$P$2),Summary!$Q$2,IF(AND(H1211=0,C1210=Summary!$Q$2),Summary!$R$2,C1210))</f>
        <v>Jared</v>
      </c>
      <c r="D1211" t="str">
        <f>IF(C1211=Summary!$P$26,VLOOKUP(Summary!M1218,Summary!$Q$26:$R$27,2),IF('Run Data'!C1211=Summary!$P$28,VLOOKUP(Summary!M1218,Summary!$Q$28:$R$29,2),VLOOKUP(Summary!M1218,Summary!$Q$30:$R$32,2)))</f>
        <v>Sprig 3</v>
      </c>
      <c r="E1211" t="str">
        <f>VLOOKUP(Summary!M1221,Summary!$P$42:$Q$43,2)</f>
        <v>86</v>
      </c>
      <c r="F1211">
        <f>IF(LEFT(A1211,3)="B60",20,IF(LEFT(A1211,3)="B12",30,25))+B1211*0.5+INT(Summary!M1224*20)</f>
        <v>803</v>
      </c>
      <c r="G1211">
        <f>ROUND(IF(OR(ISERROR(FIND(Summary!$P$89,CONCATENATE(C1211,D1211,E1211))),ISERROR(FIND(Summary!$Q$89,A1211))),Summary!$R$45,IF(H1211&gt;Summary!$V$3,Summary!$R$46,Summary!$R$45))*(B1211+30),0)</f>
        <v>16</v>
      </c>
      <c r="H1211">
        <f>IF(H1210&gt;Summary!$V$4,0,H1210+F1210)</f>
        <v>69809</v>
      </c>
      <c r="I1211" s="26">
        <f>DATE(YEAR(Summary!$V$2),MONTH(Summary!$V$2),DAY(Summary!$V$2)+INT(H1211/480))</f>
        <v>43735</v>
      </c>
      <c r="J1211" s="27">
        <f t="shared" si="19"/>
        <v>0.47847222222222219</v>
      </c>
    </row>
    <row r="1212" spans="1:10">
      <c r="A1212" t="str">
        <f>VLOOKUP(Summary!M1211,Summary!$P$13:$Q$24,2)</f>
        <v>B1200-sky</v>
      </c>
      <c r="B1212">
        <f>ROUND(NORMINV(Summary!M1213,VLOOKUP(A1212,Summary!$Q$13:$S$24,3,FALSE),VLOOKUP(A1212,Summary!$Q$13:$S$24,3,FALSE)/6),-1)</f>
        <v>930</v>
      </c>
      <c r="C1212" t="str">
        <f>IF(AND(H1212=0,C1211=Summary!$P$2),Summary!$Q$2,IF(AND(H1212=0,C1211=Summary!$Q$2),Summary!$R$2,C1211))</f>
        <v>Jared</v>
      </c>
      <c r="D1212" t="str">
        <f>IF(C1212=Summary!$P$26,VLOOKUP(Summary!M1219,Summary!$Q$26:$R$27,2),IF('Run Data'!C1212=Summary!$P$28,VLOOKUP(Summary!M1219,Summary!$Q$28:$R$29,2),VLOOKUP(Summary!M1219,Summary!$Q$30:$R$32,2)))</f>
        <v>Sprig 3</v>
      </c>
      <c r="E1212" t="str">
        <f>VLOOKUP(Summary!M1222,Summary!$P$42:$Q$43,2)</f>
        <v>86</v>
      </c>
      <c r="F1212">
        <f>IF(LEFT(A1212,3)="B60",20,IF(LEFT(A1212,3)="B12",30,25))+B1212*0.5+INT(Summary!M1225*20)</f>
        <v>499</v>
      </c>
      <c r="G1212">
        <f>ROUND(IF(OR(ISERROR(FIND(Summary!$P$89,CONCATENATE(C1212,D1212,E1212))),ISERROR(FIND(Summary!$Q$89,A1212))),Summary!$R$45,IF(H1212&gt;Summary!$V$3,Summary!$R$46,Summary!$R$45))*(B1212+30),0)</f>
        <v>10</v>
      </c>
      <c r="H1212">
        <f>IF(H1211&gt;Summary!$V$4,0,H1211+F1211)</f>
        <v>70612</v>
      </c>
      <c r="I1212" s="26">
        <f>DATE(YEAR(Summary!$V$2),MONTH(Summary!$V$2),DAY(Summary!$V$2)+INT(H1212/480))</f>
        <v>43737</v>
      </c>
      <c r="J1212" s="27">
        <f t="shared" si="19"/>
        <v>0.36944444444444446</v>
      </c>
    </row>
    <row r="1213" spans="1:10">
      <c r="A1213" t="str">
        <f>VLOOKUP(Summary!M1212,Summary!$P$13:$Q$24,2)</f>
        <v>B1700-lime</v>
      </c>
      <c r="B1213">
        <f>ROUND(NORMINV(Summary!M1214,VLOOKUP(A1213,Summary!$Q$13:$S$24,3,FALSE),VLOOKUP(A1213,Summary!$Q$13:$S$24,3,FALSE)/6),-1)</f>
        <v>460</v>
      </c>
      <c r="C1213" t="str">
        <f>IF(AND(H1213=0,C1212=Summary!$P$2),Summary!$Q$2,IF(AND(H1213=0,C1212=Summary!$Q$2),Summary!$R$2,C1212))</f>
        <v>Jared</v>
      </c>
      <c r="D1213" t="str">
        <f>IF(C1213=Summary!$P$26,VLOOKUP(Summary!M1220,Summary!$Q$26:$R$27,2),IF('Run Data'!C1213=Summary!$P$28,VLOOKUP(Summary!M1220,Summary!$Q$28:$R$29,2),VLOOKUP(Summary!M1220,Summary!$Q$30:$R$32,2)))</f>
        <v>Sprig 1</v>
      </c>
      <c r="E1213" t="str">
        <f>VLOOKUP(Summary!M1223,Summary!$P$42:$Q$43,2)</f>
        <v>86</v>
      </c>
      <c r="F1213">
        <f>IF(LEFT(A1213,3)="B60",20,IF(LEFT(A1213,3)="B12",30,25))+B1213*0.5+INT(Summary!M1226*20)</f>
        <v>272</v>
      </c>
      <c r="G1213">
        <f>ROUND(IF(OR(ISERROR(FIND(Summary!$P$89,CONCATENATE(C1213,D1213,E1213))),ISERROR(FIND(Summary!$Q$89,A1213))),Summary!$R$45,IF(H1213&gt;Summary!$V$3,Summary!$R$46,Summary!$R$45))*(B1213+30),0)</f>
        <v>59</v>
      </c>
      <c r="H1213">
        <f>IF(H1212&gt;Summary!$V$4,0,H1212+F1212)</f>
        <v>71111</v>
      </c>
      <c r="I1213" s="26">
        <f>DATE(YEAR(Summary!$V$2),MONTH(Summary!$V$2),DAY(Summary!$V$2)+INT(H1213/480))</f>
        <v>43738</v>
      </c>
      <c r="J1213" s="27">
        <f t="shared" si="19"/>
        <v>0.38263888888888892</v>
      </c>
    </row>
    <row r="1214" spans="1:10">
      <c r="A1214" t="str">
        <f>VLOOKUP(Summary!M1213,Summary!$P$13:$Q$24,2)</f>
        <v>B600-sky</v>
      </c>
      <c r="B1214">
        <f>ROUND(NORMINV(Summary!M1215,VLOOKUP(A1214,Summary!$Q$13:$S$24,3,FALSE),VLOOKUP(A1214,Summary!$Q$13:$S$24,3,FALSE)/6),-1)</f>
        <v>420</v>
      </c>
      <c r="C1214" t="str">
        <f>IF(AND(H1214=0,C1213=Summary!$P$2),Summary!$Q$2,IF(AND(H1214=0,C1213=Summary!$Q$2),Summary!$R$2,C1213))</f>
        <v>Jared</v>
      </c>
      <c r="D1214" t="str">
        <f>IF(C1214=Summary!$P$26,VLOOKUP(Summary!M1221,Summary!$Q$26:$R$27,2),IF('Run Data'!C1214=Summary!$P$28,VLOOKUP(Summary!M1221,Summary!$Q$28:$R$29,2),VLOOKUP(Summary!M1221,Summary!$Q$30:$R$32,2)))</f>
        <v>Sprig 1</v>
      </c>
      <c r="E1214" t="str">
        <f>VLOOKUP(Summary!M1224,Summary!$P$42:$Q$43,2)</f>
        <v>86</v>
      </c>
      <c r="F1214">
        <f>IF(LEFT(A1214,3)="B60",20,IF(LEFT(A1214,3)="B12",30,25))+B1214*0.5+INT(Summary!M1227*20)</f>
        <v>232</v>
      </c>
      <c r="G1214">
        <f>ROUND(IF(OR(ISERROR(FIND(Summary!$P$89,CONCATENATE(C1214,D1214,E1214))),ISERROR(FIND(Summary!$Q$89,A1214))),Summary!$R$45,IF(H1214&gt;Summary!$V$3,Summary!$R$46,Summary!$R$45))*(B1214+30),0)</f>
        <v>5</v>
      </c>
      <c r="H1214">
        <f>IF(H1213&gt;Summary!$V$4,0,H1213+F1213)</f>
        <v>71383</v>
      </c>
      <c r="I1214" s="26">
        <f>DATE(YEAR(Summary!$V$2),MONTH(Summary!$V$2),DAY(Summary!$V$2)+INT(H1214/480))</f>
        <v>43738</v>
      </c>
      <c r="J1214" s="27">
        <f t="shared" si="19"/>
        <v>0.57152777777777775</v>
      </c>
    </row>
    <row r="1215" spans="1:10">
      <c r="A1215" t="str">
        <f>VLOOKUP(Summary!M1214,Summary!$P$13:$Q$24,2)</f>
        <v>B1700-sky</v>
      </c>
      <c r="B1215">
        <f>ROUND(NORMINV(Summary!M1216,VLOOKUP(A1215,Summary!$Q$13:$S$24,3,FALSE),VLOOKUP(A1215,Summary!$Q$13:$S$24,3,FALSE)/6),-1)</f>
        <v>580</v>
      </c>
      <c r="C1215" t="str">
        <f>IF(AND(H1215=0,C1214=Summary!$P$2),Summary!$Q$2,IF(AND(H1215=0,C1214=Summary!$Q$2),Summary!$R$2,C1214))</f>
        <v>Jared</v>
      </c>
      <c r="D1215" t="str">
        <f>IF(C1215=Summary!$P$26,VLOOKUP(Summary!M1222,Summary!$Q$26:$R$27,2),IF('Run Data'!C1215=Summary!$P$28,VLOOKUP(Summary!M1222,Summary!$Q$28:$R$29,2),VLOOKUP(Summary!M1222,Summary!$Q$30:$R$32,2)))</f>
        <v>Sprig 2</v>
      </c>
      <c r="E1215" t="str">
        <f>VLOOKUP(Summary!M1225,Summary!$P$42:$Q$43,2)</f>
        <v>86</v>
      </c>
      <c r="F1215">
        <f>IF(LEFT(A1215,3)="B60",20,IF(LEFT(A1215,3)="B12",30,25))+B1215*0.5+INT(Summary!M1228*20)</f>
        <v>331</v>
      </c>
      <c r="G1215">
        <f>ROUND(IF(OR(ISERROR(FIND(Summary!$P$89,CONCATENATE(C1215,D1215,E1215))),ISERROR(FIND(Summary!$Q$89,A1215))),Summary!$R$45,IF(H1215&gt;Summary!$V$3,Summary!$R$46,Summary!$R$45))*(B1215+30),0)</f>
        <v>73</v>
      </c>
      <c r="H1215">
        <f>IF(H1214&gt;Summary!$V$4,0,H1214+F1214)</f>
        <v>71615</v>
      </c>
      <c r="I1215" s="26">
        <f>DATE(YEAR(Summary!$V$2),MONTH(Summary!$V$2),DAY(Summary!$V$2)+INT(H1215/480))</f>
        <v>43739</v>
      </c>
      <c r="J1215" s="27">
        <f t="shared" si="19"/>
        <v>0.39930555555555558</v>
      </c>
    </row>
    <row r="1216" spans="1:10">
      <c r="A1216" t="str">
        <f>VLOOKUP(Summary!M1215,Summary!$P$13:$Q$24,2)</f>
        <v>B600-lime</v>
      </c>
      <c r="B1216">
        <f>ROUND(NORMINV(Summary!M1217,VLOOKUP(A1216,Summary!$Q$13:$S$24,3,FALSE),VLOOKUP(A1216,Summary!$Q$13:$S$24,3,FALSE)/6),-1)</f>
        <v>380</v>
      </c>
      <c r="C1216" t="str">
        <f>IF(AND(H1216=0,C1215=Summary!$P$2),Summary!$Q$2,IF(AND(H1216=0,C1215=Summary!$Q$2),Summary!$R$2,C1215))</f>
        <v>Jared</v>
      </c>
      <c r="D1216" t="str">
        <f>IF(C1216=Summary!$P$26,VLOOKUP(Summary!M1223,Summary!$Q$26:$R$27,2),IF('Run Data'!C1216=Summary!$P$28,VLOOKUP(Summary!M1223,Summary!$Q$28:$R$29,2),VLOOKUP(Summary!M1223,Summary!$Q$30:$R$32,2)))</f>
        <v>Sprig 2</v>
      </c>
      <c r="E1216" t="str">
        <f>VLOOKUP(Summary!M1226,Summary!$P$42:$Q$43,2)</f>
        <v>87b</v>
      </c>
      <c r="F1216">
        <f>IF(LEFT(A1216,3)="B60",20,IF(LEFT(A1216,3)="B12",30,25))+B1216*0.5+INT(Summary!M1229*20)</f>
        <v>210</v>
      </c>
      <c r="G1216">
        <f>ROUND(IF(OR(ISERROR(FIND(Summary!$P$89,CONCATENATE(C1216,D1216,E1216))),ISERROR(FIND(Summary!$Q$89,A1216))),Summary!$R$45,IF(H1216&gt;Summary!$V$3,Summary!$R$46,Summary!$R$45))*(B1216+30),0)</f>
        <v>4</v>
      </c>
      <c r="H1216">
        <f>IF(H1215&gt;Summary!$V$4,0,H1215+F1215)</f>
        <v>71946</v>
      </c>
      <c r="I1216" s="26">
        <f>DATE(YEAR(Summary!$V$2),MONTH(Summary!$V$2),DAY(Summary!$V$2)+INT(H1216/480))</f>
        <v>43739</v>
      </c>
      <c r="J1216" s="27">
        <f t="shared" si="19"/>
        <v>0.62916666666666665</v>
      </c>
    </row>
    <row r="1217" spans="1:10">
      <c r="A1217" t="str">
        <f>VLOOKUP(Summary!M1216,Summary!$P$13:$Q$24,2)</f>
        <v>B1200-lime</v>
      </c>
      <c r="B1217">
        <f>ROUND(NORMINV(Summary!M1218,VLOOKUP(A1217,Summary!$Q$13:$S$24,3,FALSE),VLOOKUP(A1217,Summary!$Q$13:$S$24,3,FALSE)/6),-1)</f>
        <v>890</v>
      </c>
      <c r="C1217" t="str">
        <f>IF(AND(H1217=0,C1216=Summary!$P$2),Summary!$Q$2,IF(AND(H1217=0,C1216=Summary!$Q$2),Summary!$R$2,C1216))</f>
        <v>Jared</v>
      </c>
      <c r="D1217" t="str">
        <f>IF(C1217=Summary!$P$26,VLOOKUP(Summary!M1224,Summary!$Q$26:$R$27,2),IF('Run Data'!C1217=Summary!$P$28,VLOOKUP(Summary!M1224,Summary!$Q$28:$R$29,2),VLOOKUP(Summary!M1224,Summary!$Q$30:$R$32,2)))</f>
        <v>Sprig 1</v>
      </c>
      <c r="E1217" t="str">
        <f>VLOOKUP(Summary!M1227,Summary!$P$42:$Q$43,2)</f>
        <v>86</v>
      </c>
      <c r="F1217">
        <f>IF(LEFT(A1217,3)="B60",20,IF(LEFT(A1217,3)="B12",30,25))+B1217*0.5+INT(Summary!M1230*20)</f>
        <v>484</v>
      </c>
      <c r="G1217">
        <f>ROUND(IF(OR(ISERROR(FIND(Summary!$P$89,CONCATENATE(C1217,D1217,E1217))),ISERROR(FIND(Summary!$Q$89,A1217))),Summary!$R$45,IF(H1217&gt;Summary!$V$3,Summary!$R$46,Summary!$R$45))*(B1217+30),0)</f>
        <v>9</v>
      </c>
      <c r="H1217">
        <f>IF(H1216&gt;Summary!$V$4,0,H1216+F1216)</f>
        <v>72156</v>
      </c>
      <c r="I1217" s="26">
        <f>DATE(YEAR(Summary!$V$2),MONTH(Summary!$V$2),DAY(Summary!$V$2)+INT(H1217/480))</f>
        <v>43740</v>
      </c>
      <c r="J1217" s="27">
        <f t="shared" si="19"/>
        <v>0.44166666666666665</v>
      </c>
    </row>
    <row r="1218" spans="1:10">
      <c r="A1218" t="str">
        <f>VLOOKUP(Summary!M1217,Summary!$P$13:$Q$24,2)</f>
        <v>B1700-lime</v>
      </c>
      <c r="B1218">
        <f>ROUND(NORMINV(Summary!M1219,VLOOKUP(A1218,Summary!$Q$13:$S$24,3,FALSE),VLOOKUP(A1218,Summary!$Q$13:$S$24,3,FALSE)/6),-1)</f>
        <v>490</v>
      </c>
      <c r="C1218" t="str">
        <f>IF(AND(H1218=0,C1217=Summary!$P$2),Summary!$Q$2,IF(AND(H1218=0,C1217=Summary!$Q$2),Summary!$R$2,C1217))</f>
        <v>Jared</v>
      </c>
      <c r="D1218" t="str">
        <f>IF(C1218=Summary!$P$26,VLOOKUP(Summary!M1225,Summary!$Q$26:$R$27,2),IF('Run Data'!C1218=Summary!$P$28,VLOOKUP(Summary!M1225,Summary!$Q$28:$R$29,2),VLOOKUP(Summary!M1225,Summary!$Q$30:$R$32,2)))</f>
        <v>Sprig 2</v>
      </c>
      <c r="E1218" t="str">
        <f>VLOOKUP(Summary!M1228,Summary!$P$42:$Q$43,2)</f>
        <v>86</v>
      </c>
      <c r="F1218">
        <f>IF(LEFT(A1218,3)="B60",20,IF(LEFT(A1218,3)="B12",30,25))+B1218*0.5+INT(Summary!M1231*20)</f>
        <v>273</v>
      </c>
      <c r="G1218">
        <f>ROUND(IF(OR(ISERROR(FIND(Summary!$P$89,CONCATENATE(C1218,D1218,E1218))),ISERROR(FIND(Summary!$Q$89,A1218))),Summary!$R$45,IF(H1218&gt;Summary!$V$3,Summary!$R$46,Summary!$R$45))*(B1218+30),0)</f>
        <v>62</v>
      </c>
      <c r="H1218">
        <f>IF(H1217&gt;Summary!$V$4,0,H1217+F1217)</f>
        <v>72640</v>
      </c>
      <c r="I1218" s="26">
        <f>DATE(YEAR(Summary!$V$2),MONTH(Summary!$V$2),DAY(Summary!$V$2)+INT(H1218/480))</f>
        <v>43741</v>
      </c>
      <c r="J1218" s="27">
        <f t="shared" si="19"/>
        <v>0.44444444444444442</v>
      </c>
    </row>
    <row r="1219" spans="1:10">
      <c r="A1219" t="str">
        <f>VLOOKUP(Summary!M1218,Summary!$P$13:$Q$24,2)</f>
        <v>B1700-plum</v>
      </c>
      <c r="B1219">
        <f>ROUND(NORMINV(Summary!M1220,VLOOKUP(A1219,Summary!$Q$13:$S$24,3,FALSE),VLOOKUP(A1219,Summary!$Q$13:$S$24,3,FALSE)/6),-1)</f>
        <v>250</v>
      </c>
      <c r="C1219" t="str">
        <f>IF(AND(H1219=0,C1218=Summary!$P$2),Summary!$Q$2,IF(AND(H1219=0,C1218=Summary!$Q$2),Summary!$R$2,C1218))</f>
        <v>Jared</v>
      </c>
      <c r="D1219" t="str">
        <f>IF(C1219=Summary!$P$26,VLOOKUP(Summary!M1226,Summary!$Q$26:$R$27,2),IF('Run Data'!C1219=Summary!$P$28,VLOOKUP(Summary!M1226,Summary!$Q$28:$R$29,2),VLOOKUP(Summary!M1226,Summary!$Q$30:$R$32,2)))</f>
        <v>Sprig 3</v>
      </c>
      <c r="E1219" t="str">
        <f>VLOOKUP(Summary!M1229,Summary!$P$42:$Q$43,2)</f>
        <v>86</v>
      </c>
      <c r="F1219">
        <f>IF(LEFT(A1219,3)="B60",20,IF(LEFT(A1219,3)="B12",30,25))+B1219*0.5+INT(Summary!M1232*20)</f>
        <v>164</v>
      </c>
      <c r="G1219">
        <f>ROUND(IF(OR(ISERROR(FIND(Summary!$P$89,CONCATENATE(C1219,D1219,E1219))),ISERROR(FIND(Summary!$Q$89,A1219))),Summary!$R$45,IF(H1219&gt;Summary!$V$3,Summary!$R$46,Summary!$R$45))*(B1219+30),0)</f>
        <v>34</v>
      </c>
      <c r="H1219">
        <f>IF(H1218&gt;Summary!$V$4,0,H1218+F1218)</f>
        <v>72913</v>
      </c>
      <c r="I1219" s="26">
        <f>DATE(YEAR(Summary!$V$2),MONTH(Summary!$V$2),DAY(Summary!$V$2)+INT(H1219/480))</f>
        <v>43741</v>
      </c>
      <c r="J1219" s="27">
        <f t="shared" si="19"/>
        <v>0.63402777777777775</v>
      </c>
    </row>
    <row r="1220" spans="1:10">
      <c r="A1220" t="str">
        <f>VLOOKUP(Summary!M1219,Summary!$P$13:$Q$24,2)</f>
        <v>B1700-fire</v>
      </c>
      <c r="B1220">
        <f>ROUND(NORMINV(Summary!M1221,VLOOKUP(A1220,Summary!$Q$13:$S$24,3,FALSE),VLOOKUP(A1220,Summary!$Q$13:$S$24,3,FALSE)/6),-1)</f>
        <v>520</v>
      </c>
      <c r="C1220" t="str">
        <f>IF(AND(H1220=0,C1219=Summary!$P$2),Summary!$Q$2,IF(AND(H1220=0,C1219=Summary!$Q$2),Summary!$R$2,C1219))</f>
        <v>Jared</v>
      </c>
      <c r="D1220" t="str">
        <f>IF(C1220=Summary!$P$26,VLOOKUP(Summary!M1227,Summary!$Q$26:$R$27,2),IF('Run Data'!C1220=Summary!$P$28,VLOOKUP(Summary!M1227,Summary!$Q$28:$R$29,2),VLOOKUP(Summary!M1227,Summary!$Q$30:$R$32,2)))</f>
        <v>Sprig 1</v>
      </c>
      <c r="E1220" t="str">
        <f>VLOOKUP(Summary!M1230,Summary!$P$42:$Q$43,2)</f>
        <v>86</v>
      </c>
      <c r="F1220">
        <f>IF(LEFT(A1220,3)="B60",20,IF(LEFT(A1220,3)="B12",30,25))+B1220*0.5+INT(Summary!M1233*20)</f>
        <v>290</v>
      </c>
      <c r="G1220">
        <f>ROUND(IF(OR(ISERROR(FIND(Summary!$P$89,CONCATENATE(C1220,D1220,E1220))),ISERROR(FIND(Summary!$Q$89,A1220))),Summary!$R$45,IF(H1220&gt;Summary!$V$3,Summary!$R$46,Summary!$R$45))*(B1220+30),0)</f>
        <v>66</v>
      </c>
      <c r="H1220">
        <f>IF(H1219&gt;Summary!$V$4,0,H1219+F1219)</f>
        <v>73077</v>
      </c>
      <c r="I1220" s="26">
        <f>DATE(YEAR(Summary!$V$2),MONTH(Summary!$V$2),DAY(Summary!$V$2)+INT(H1220/480))</f>
        <v>43742</v>
      </c>
      <c r="J1220" s="27">
        <f t="shared" si="19"/>
        <v>0.4145833333333333</v>
      </c>
    </row>
    <row r="1221" spans="1:10">
      <c r="A1221" t="str">
        <f>VLOOKUP(Summary!M1220,Summary!$P$13:$Q$24,2)</f>
        <v>B600-fire</v>
      </c>
      <c r="B1221">
        <f>ROUND(NORMINV(Summary!M1222,VLOOKUP(A1221,Summary!$Q$13:$S$24,3,FALSE),VLOOKUP(A1221,Summary!$Q$13:$S$24,3,FALSE)/6),-1)</f>
        <v>400</v>
      </c>
      <c r="C1221" t="str">
        <f>IF(AND(H1221=0,C1220=Summary!$P$2),Summary!$Q$2,IF(AND(H1221=0,C1220=Summary!$Q$2),Summary!$R$2,C1220))</f>
        <v>Jared</v>
      </c>
      <c r="D1221" t="str">
        <f>IF(C1221=Summary!$P$26,VLOOKUP(Summary!M1228,Summary!$Q$26:$R$27,2),IF('Run Data'!C1221=Summary!$P$28,VLOOKUP(Summary!M1228,Summary!$Q$28:$R$29,2),VLOOKUP(Summary!M1228,Summary!$Q$30:$R$32,2)))</f>
        <v>Sprig 3</v>
      </c>
      <c r="E1221" t="str">
        <f>VLOOKUP(Summary!M1231,Summary!$P$42:$Q$43,2)</f>
        <v>86</v>
      </c>
      <c r="F1221">
        <f>IF(LEFT(A1221,3)="B60",20,IF(LEFT(A1221,3)="B12",30,25))+B1221*0.5+INT(Summary!M1234*20)</f>
        <v>225</v>
      </c>
      <c r="G1221">
        <f>ROUND(IF(OR(ISERROR(FIND(Summary!$P$89,CONCATENATE(C1221,D1221,E1221))),ISERROR(FIND(Summary!$Q$89,A1221))),Summary!$R$45,IF(H1221&gt;Summary!$V$3,Summary!$R$46,Summary!$R$45))*(B1221+30),0)</f>
        <v>4</v>
      </c>
      <c r="H1221">
        <f>IF(H1220&gt;Summary!$V$4,0,H1220+F1220)</f>
        <v>73367</v>
      </c>
      <c r="I1221" s="26">
        <f>DATE(YEAR(Summary!$V$2),MONTH(Summary!$V$2),DAY(Summary!$V$2)+INT(H1221/480))</f>
        <v>43742</v>
      </c>
      <c r="J1221" s="27">
        <f t="shared" si="19"/>
        <v>0.61597222222222225</v>
      </c>
    </row>
    <row r="1222" spans="1:10">
      <c r="A1222" t="str">
        <f>VLOOKUP(Summary!M1221,Summary!$P$13:$Q$24,2)</f>
        <v>B600-plum</v>
      </c>
      <c r="B1222">
        <f>ROUND(NORMINV(Summary!M1223,VLOOKUP(A1222,Summary!$Q$13:$S$24,3,FALSE),VLOOKUP(A1222,Summary!$Q$13:$S$24,3,FALSE)/6),-1)</f>
        <v>190</v>
      </c>
      <c r="C1222" t="str">
        <f>IF(AND(H1222=0,C1221=Summary!$P$2),Summary!$Q$2,IF(AND(H1222=0,C1221=Summary!$Q$2),Summary!$R$2,C1221))</f>
        <v>Jared</v>
      </c>
      <c r="D1222" t="str">
        <f>IF(C1222=Summary!$P$26,VLOOKUP(Summary!M1229,Summary!$Q$26:$R$27,2),IF('Run Data'!C1222=Summary!$P$28,VLOOKUP(Summary!M1229,Summary!$Q$28:$R$29,2),VLOOKUP(Summary!M1229,Summary!$Q$30:$R$32,2)))</f>
        <v>Sprig 1</v>
      </c>
      <c r="E1222" t="str">
        <f>VLOOKUP(Summary!M1232,Summary!$P$42:$Q$43,2)</f>
        <v>86</v>
      </c>
      <c r="F1222">
        <f>IF(LEFT(A1222,3)="B60",20,IF(LEFT(A1222,3)="B12",30,25))+B1222*0.5+INT(Summary!M1235*20)</f>
        <v>121</v>
      </c>
      <c r="G1222">
        <f>ROUND(IF(OR(ISERROR(FIND(Summary!$P$89,CONCATENATE(C1222,D1222,E1222))),ISERROR(FIND(Summary!$Q$89,A1222))),Summary!$R$45,IF(H1222&gt;Summary!$V$3,Summary!$R$46,Summary!$R$45))*(B1222+30),0)</f>
        <v>2</v>
      </c>
      <c r="H1222">
        <f>IF(H1221&gt;Summary!$V$4,0,H1221+F1221)</f>
        <v>73592</v>
      </c>
      <c r="I1222" s="26">
        <f>DATE(YEAR(Summary!$V$2),MONTH(Summary!$V$2),DAY(Summary!$V$2)+INT(H1222/480))</f>
        <v>43743</v>
      </c>
      <c r="J1222" s="27">
        <f t="shared" si="19"/>
        <v>0.43888888888888888</v>
      </c>
    </row>
    <row r="1223" spans="1:10">
      <c r="A1223" t="str">
        <f>VLOOKUP(Summary!M1222,Summary!$P$13:$Q$24,2)</f>
        <v>B1200-fire</v>
      </c>
      <c r="B1223">
        <f>ROUND(NORMINV(Summary!M1224,VLOOKUP(A1223,Summary!$Q$13:$S$24,3,FALSE),VLOOKUP(A1223,Summary!$Q$13:$S$24,3,FALSE)/6),-1)</f>
        <v>1030</v>
      </c>
      <c r="C1223" t="str">
        <f>IF(AND(H1223=0,C1222=Summary!$P$2),Summary!$Q$2,IF(AND(H1223=0,C1222=Summary!$Q$2),Summary!$R$2,C1222))</f>
        <v>Jared</v>
      </c>
      <c r="D1223" t="str">
        <f>IF(C1223=Summary!$P$26,VLOOKUP(Summary!M1230,Summary!$Q$26:$R$27,2),IF('Run Data'!C1223=Summary!$P$28,VLOOKUP(Summary!M1230,Summary!$Q$28:$R$29,2),VLOOKUP(Summary!M1230,Summary!$Q$30:$R$32,2)))</f>
        <v>Sprig 2</v>
      </c>
      <c r="E1223" t="str">
        <f>VLOOKUP(Summary!M1233,Summary!$P$42:$Q$43,2)</f>
        <v>86</v>
      </c>
      <c r="F1223">
        <f>IF(LEFT(A1223,3)="B60",20,IF(LEFT(A1223,3)="B12",30,25))+B1223*0.5+INT(Summary!M1236*20)</f>
        <v>562</v>
      </c>
      <c r="G1223">
        <f>ROUND(IF(OR(ISERROR(FIND(Summary!$P$89,CONCATENATE(C1223,D1223,E1223))),ISERROR(FIND(Summary!$Q$89,A1223))),Summary!$R$45,IF(H1223&gt;Summary!$V$3,Summary!$R$46,Summary!$R$45))*(B1223+30),0)</f>
        <v>11</v>
      </c>
      <c r="H1223">
        <f>IF(H1222&gt;Summary!$V$4,0,H1222+F1222)</f>
        <v>73713</v>
      </c>
      <c r="I1223" s="26">
        <f>DATE(YEAR(Summary!$V$2),MONTH(Summary!$V$2),DAY(Summary!$V$2)+INT(H1223/480))</f>
        <v>43743</v>
      </c>
      <c r="J1223" s="27">
        <f t="shared" si="19"/>
        <v>0.5229166666666667</v>
      </c>
    </row>
    <row r="1224" spans="1:10">
      <c r="A1224" t="str">
        <f>VLOOKUP(Summary!M1223,Summary!$P$13:$Q$24,2)</f>
        <v>B1200-sky</v>
      </c>
      <c r="B1224">
        <f>ROUND(NORMINV(Summary!M1225,VLOOKUP(A1224,Summary!$Q$13:$S$24,3,FALSE),VLOOKUP(A1224,Summary!$Q$13:$S$24,3,FALSE)/6),-1)</f>
        <v>1030</v>
      </c>
      <c r="C1224" t="str">
        <f>IF(AND(H1224=0,C1223=Summary!$P$2),Summary!$Q$2,IF(AND(H1224=0,C1223=Summary!$Q$2),Summary!$R$2,C1223))</f>
        <v>Jared</v>
      </c>
      <c r="D1224" t="str">
        <f>IF(C1224=Summary!$P$26,VLOOKUP(Summary!M1231,Summary!$Q$26:$R$27,2),IF('Run Data'!C1224=Summary!$P$28,VLOOKUP(Summary!M1231,Summary!$Q$28:$R$29,2),VLOOKUP(Summary!M1231,Summary!$Q$30:$R$32,2)))</f>
        <v>Sprig 1</v>
      </c>
      <c r="E1224" t="str">
        <f>VLOOKUP(Summary!M1234,Summary!$P$42:$Q$43,2)</f>
        <v>86</v>
      </c>
      <c r="F1224">
        <f>IF(LEFT(A1224,3)="B60",20,IF(LEFT(A1224,3)="B12",30,25))+B1224*0.5+INT(Summary!M1237*20)</f>
        <v>558</v>
      </c>
      <c r="G1224">
        <f>ROUND(IF(OR(ISERROR(FIND(Summary!$P$89,CONCATENATE(C1224,D1224,E1224))),ISERROR(FIND(Summary!$Q$89,A1224))),Summary!$R$45,IF(H1224&gt;Summary!$V$3,Summary!$R$46,Summary!$R$45))*(B1224+30),0)</f>
        <v>11</v>
      </c>
      <c r="H1224">
        <f>IF(H1223&gt;Summary!$V$4,0,H1223+F1223)</f>
        <v>74275</v>
      </c>
      <c r="I1224" s="26">
        <f>DATE(YEAR(Summary!$V$2),MONTH(Summary!$V$2),DAY(Summary!$V$2)+INT(H1224/480))</f>
        <v>43744</v>
      </c>
      <c r="J1224" s="27">
        <f t="shared" si="19"/>
        <v>0.57986111111111105</v>
      </c>
    </row>
    <row r="1225" spans="1:10">
      <c r="A1225" t="str">
        <f>VLOOKUP(Summary!M1224,Summary!$P$13:$Q$24,2)</f>
        <v>B600-lime</v>
      </c>
      <c r="B1225">
        <f>ROUND(NORMINV(Summary!M1226,VLOOKUP(A1225,Summary!$Q$13:$S$24,3,FALSE),VLOOKUP(A1225,Summary!$Q$13:$S$24,3,FALSE)/6),-1)</f>
        <v>360</v>
      </c>
      <c r="C1225" t="str">
        <f>IF(AND(H1225=0,C1224=Summary!$P$2),Summary!$Q$2,IF(AND(H1225=0,C1224=Summary!$Q$2),Summary!$R$2,C1224))</f>
        <v>Jared</v>
      </c>
      <c r="D1225" t="str">
        <f>IF(C1225=Summary!$P$26,VLOOKUP(Summary!M1232,Summary!$Q$26:$R$27,2),IF('Run Data'!C1225=Summary!$P$28,VLOOKUP(Summary!M1232,Summary!$Q$28:$R$29,2),VLOOKUP(Summary!M1232,Summary!$Q$30:$R$32,2)))</f>
        <v>Sprig 3</v>
      </c>
      <c r="E1225" t="str">
        <f>VLOOKUP(Summary!M1235,Summary!$P$42:$Q$43,2)</f>
        <v>86</v>
      </c>
      <c r="F1225">
        <f>IF(LEFT(A1225,3)="B60",20,IF(LEFT(A1225,3)="B12",30,25))+B1225*0.5+INT(Summary!M1238*20)</f>
        <v>205</v>
      </c>
      <c r="G1225">
        <f>ROUND(IF(OR(ISERROR(FIND(Summary!$P$89,CONCATENATE(C1225,D1225,E1225))),ISERROR(FIND(Summary!$Q$89,A1225))),Summary!$R$45,IF(H1225&gt;Summary!$V$3,Summary!$R$46,Summary!$R$45))*(B1225+30),0)</f>
        <v>4</v>
      </c>
      <c r="H1225">
        <f>IF(H1224&gt;Summary!$V$4,0,H1224+F1224)</f>
        <v>74833</v>
      </c>
      <c r="I1225" s="26">
        <f>DATE(YEAR(Summary!$V$2),MONTH(Summary!$V$2),DAY(Summary!$V$2)+INT(H1225/480))</f>
        <v>43745</v>
      </c>
      <c r="J1225" s="27">
        <f t="shared" si="19"/>
        <v>0.63402777777777775</v>
      </c>
    </row>
    <row r="1226" spans="1:10">
      <c r="A1226" t="str">
        <f>VLOOKUP(Summary!M1225,Summary!$P$13:$Q$24,2)</f>
        <v>B600-lime</v>
      </c>
      <c r="B1226">
        <f>ROUND(NORMINV(Summary!M1227,VLOOKUP(A1226,Summary!$Q$13:$S$24,3,FALSE),VLOOKUP(A1226,Summary!$Q$13:$S$24,3,FALSE)/6),-1)</f>
        <v>250</v>
      </c>
      <c r="C1226" t="str">
        <f>IF(AND(H1226=0,C1225=Summary!$P$2),Summary!$Q$2,IF(AND(H1226=0,C1225=Summary!$Q$2),Summary!$R$2,C1225))</f>
        <v>Jared</v>
      </c>
      <c r="D1226" t="str">
        <f>IF(C1226=Summary!$P$26,VLOOKUP(Summary!M1233,Summary!$Q$26:$R$27,2),IF('Run Data'!C1226=Summary!$P$28,VLOOKUP(Summary!M1233,Summary!$Q$28:$R$29,2),VLOOKUP(Summary!M1233,Summary!$Q$30:$R$32,2)))</f>
        <v>Sprig 2</v>
      </c>
      <c r="E1226" t="str">
        <f>VLOOKUP(Summary!M1236,Summary!$P$42:$Q$43,2)</f>
        <v>87b</v>
      </c>
      <c r="F1226">
        <f>IF(LEFT(A1226,3)="B60",20,IF(LEFT(A1226,3)="B12",30,25))+B1226*0.5+INT(Summary!M1239*20)</f>
        <v>164</v>
      </c>
      <c r="G1226">
        <f>ROUND(IF(OR(ISERROR(FIND(Summary!$P$89,CONCATENATE(C1226,D1226,E1226))),ISERROR(FIND(Summary!$Q$89,A1226))),Summary!$R$45,IF(H1226&gt;Summary!$V$3,Summary!$R$46,Summary!$R$45))*(B1226+30),0)</f>
        <v>3</v>
      </c>
      <c r="H1226">
        <f>IF(H1225&gt;Summary!$V$4,0,H1225+F1225)</f>
        <v>75038</v>
      </c>
      <c r="I1226" s="26">
        <f>DATE(YEAR(Summary!$V$2),MONTH(Summary!$V$2),DAY(Summary!$V$2)+INT(H1226/480))</f>
        <v>43746</v>
      </c>
      <c r="J1226" s="27">
        <f t="shared" si="19"/>
        <v>0.44305555555555554</v>
      </c>
    </row>
    <row r="1227" spans="1:10">
      <c r="A1227" t="str">
        <f>VLOOKUP(Summary!M1226,Summary!$P$13:$Q$24,2)</f>
        <v>B1700-fire</v>
      </c>
      <c r="B1227">
        <f>ROUND(NORMINV(Summary!M1228,VLOOKUP(A1227,Summary!$Q$13:$S$24,3,FALSE),VLOOKUP(A1227,Summary!$Q$13:$S$24,3,FALSE)/6),-1)</f>
        <v>860</v>
      </c>
      <c r="C1227" t="str">
        <f>IF(AND(H1227=0,C1226=Summary!$P$2),Summary!$Q$2,IF(AND(H1227=0,C1226=Summary!$Q$2),Summary!$R$2,C1226))</f>
        <v>Jared</v>
      </c>
      <c r="D1227" t="str">
        <f>IF(C1227=Summary!$P$26,VLOOKUP(Summary!M1234,Summary!$Q$26:$R$27,2),IF('Run Data'!C1227=Summary!$P$28,VLOOKUP(Summary!M1234,Summary!$Q$28:$R$29,2),VLOOKUP(Summary!M1234,Summary!$Q$30:$R$32,2)))</f>
        <v>Sprig 2</v>
      </c>
      <c r="E1227" t="str">
        <f>VLOOKUP(Summary!M1237,Summary!$P$42:$Q$43,2)</f>
        <v>86</v>
      </c>
      <c r="F1227">
        <f>IF(LEFT(A1227,3)="B60",20,IF(LEFT(A1227,3)="B12",30,25))+B1227*0.5+INT(Summary!M1240*20)</f>
        <v>458</v>
      </c>
      <c r="G1227">
        <f>ROUND(IF(OR(ISERROR(FIND(Summary!$P$89,CONCATENATE(C1227,D1227,E1227))),ISERROR(FIND(Summary!$Q$89,A1227))),Summary!$R$45,IF(H1227&gt;Summary!$V$3,Summary!$R$46,Summary!$R$45))*(B1227+30),0)</f>
        <v>107</v>
      </c>
      <c r="H1227">
        <f>IF(H1226&gt;Summary!$V$4,0,H1226+F1226)</f>
        <v>75202</v>
      </c>
      <c r="I1227" s="26">
        <f>DATE(YEAR(Summary!$V$2),MONTH(Summary!$V$2),DAY(Summary!$V$2)+INT(H1227/480))</f>
        <v>43746</v>
      </c>
      <c r="J1227" s="27">
        <f t="shared" si="19"/>
        <v>0.55694444444444446</v>
      </c>
    </row>
    <row r="1228" spans="1:10">
      <c r="A1228" t="str">
        <f>VLOOKUP(Summary!M1227,Summary!$P$13:$Q$24,2)</f>
        <v>B600-fire</v>
      </c>
      <c r="B1228">
        <f>ROUND(NORMINV(Summary!M1229,VLOOKUP(A1228,Summary!$Q$13:$S$24,3,FALSE),VLOOKUP(A1228,Summary!$Q$13:$S$24,3,FALSE)/6),-1)</f>
        <v>180</v>
      </c>
      <c r="C1228" t="str">
        <f>IF(AND(H1228=0,C1227=Summary!$P$2),Summary!$Q$2,IF(AND(H1228=0,C1227=Summary!$Q$2),Summary!$R$2,C1227))</f>
        <v>Jared</v>
      </c>
      <c r="D1228" t="str">
        <f>IF(C1228=Summary!$P$26,VLOOKUP(Summary!M1235,Summary!$Q$26:$R$27,2),IF('Run Data'!C1228=Summary!$P$28,VLOOKUP(Summary!M1235,Summary!$Q$28:$R$29,2),VLOOKUP(Summary!M1235,Summary!$Q$30:$R$32,2)))</f>
        <v>Sprig 2</v>
      </c>
      <c r="E1228" t="str">
        <f>VLOOKUP(Summary!M1238,Summary!$P$42:$Q$43,2)</f>
        <v>86</v>
      </c>
      <c r="F1228">
        <f>IF(LEFT(A1228,3)="B60",20,IF(LEFT(A1228,3)="B12",30,25))+B1228*0.5+INT(Summary!M1241*20)</f>
        <v>118</v>
      </c>
      <c r="G1228">
        <f>ROUND(IF(OR(ISERROR(FIND(Summary!$P$89,CONCATENATE(C1228,D1228,E1228))),ISERROR(FIND(Summary!$Q$89,A1228))),Summary!$R$45,IF(H1228&gt;Summary!$V$3,Summary!$R$46,Summary!$R$45))*(B1228+30),0)</f>
        <v>2</v>
      </c>
      <c r="H1228">
        <f>IF(H1227&gt;Summary!$V$4,0,H1227+F1227)</f>
        <v>75660</v>
      </c>
      <c r="I1228" s="26">
        <f>DATE(YEAR(Summary!$V$2),MONTH(Summary!$V$2),DAY(Summary!$V$2)+INT(H1228/480))</f>
        <v>43747</v>
      </c>
      <c r="J1228" s="27">
        <f t="shared" si="19"/>
        <v>0.54166666666666663</v>
      </c>
    </row>
    <row r="1229" spans="1:10">
      <c r="A1229" t="str">
        <f>VLOOKUP(Summary!M1228,Summary!$P$13:$Q$24,2)</f>
        <v>B1700-sky</v>
      </c>
      <c r="B1229">
        <f>ROUND(NORMINV(Summary!M1230,VLOOKUP(A1229,Summary!$Q$13:$S$24,3,FALSE),VLOOKUP(A1229,Summary!$Q$13:$S$24,3,FALSE)/6),-1)</f>
        <v>550</v>
      </c>
      <c r="C1229" t="str">
        <f>IF(AND(H1229=0,C1228=Summary!$P$2),Summary!$Q$2,IF(AND(H1229=0,C1228=Summary!$Q$2),Summary!$R$2,C1228))</f>
        <v>Jared</v>
      </c>
      <c r="D1229" t="str">
        <f>IF(C1229=Summary!$P$26,VLOOKUP(Summary!M1236,Summary!$Q$26:$R$27,2),IF('Run Data'!C1229=Summary!$P$28,VLOOKUP(Summary!M1236,Summary!$Q$28:$R$29,2),VLOOKUP(Summary!M1236,Summary!$Q$30:$R$32,2)))</f>
        <v>Sprig 3</v>
      </c>
      <c r="E1229" t="str">
        <f>VLOOKUP(Summary!M1239,Summary!$P$42:$Q$43,2)</f>
        <v>87b</v>
      </c>
      <c r="F1229">
        <f>IF(LEFT(A1229,3)="B60",20,IF(LEFT(A1229,3)="B12",30,25))+B1229*0.5+INT(Summary!M1242*20)</f>
        <v>313</v>
      </c>
      <c r="G1229">
        <f>ROUND(IF(OR(ISERROR(FIND(Summary!$P$89,CONCATENATE(C1229,D1229,E1229))),ISERROR(FIND(Summary!$Q$89,A1229))),Summary!$R$45,IF(H1229&gt;Summary!$V$3,Summary!$R$46,Summary!$R$45))*(B1229+30),0)</f>
        <v>6</v>
      </c>
      <c r="H1229">
        <f>IF(H1228&gt;Summary!$V$4,0,H1228+F1228)</f>
        <v>75778</v>
      </c>
      <c r="I1229" s="26">
        <f>DATE(YEAR(Summary!$V$2),MONTH(Summary!$V$2),DAY(Summary!$V$2)+INT(H1229/480))</f>
        <v>43747</v>
      </c>
      <c r="J1229" s="27">
        <f t="shared" si="19"/>
        <v>0.62361111111111112</v>
      </c>
    </row>
    <row r="1230" spans="1:10">
      <c r="A1230" t="str">
        <f>VLOOKUP(Summary!M1229,Summary!$P$13:$Q$24,2)</f>
        <v>B600-plum</v>
      </c>
      <c r="B1230">
        <f>ROUND(NORMINV(Summary!M1231,VLOOKUP(A1230,Summary!$Q$13:$S$24,3,FALSE),VLOOKUP(A1230,Summary!$Q$13:$S$24,3,FALSE)/6),-1)</f>
        <v>170</v>
      </c>
      <c r="C1230" t="str">
        <f>IF(AND(H1230=0,C1229=Summary!$P$2),Summary!$Q$2,IF(AND(H1230=0,C1229=Summary!$Q$2),Summary!$R$2,C1229))</f>
        <v>Jared</v>
      </c>
      <c r="D1230" t="str">
        <f>IF(C1230=Summary!$P$26,VLOOKUP(Summary!M1237,Summary!$Q$26:$R$27,2),IF('Run Data'!C1230=Summary!$P$28,VLOOKUP(Summary!M1237,Summary!$Q$28:$R$29,2),VLOOKUP(Summary!M1237,Summary!$Q$30:$R$32,2)))</f>
        <v>Sprig 3</v>
      </c>
      <c r="E1230" t="str">
        <f>VLOOKUP(Summary!M1240,Summary!$P$42:$Q$43,2)</f>
        <v>86</v>
      </c>
      <c r="F1230">
        <f>IF(LEFT(A1230,3)="B60",20,IF(LEFT(A1230,3)="B12",30,25))+B1230*0.5+INT(Summary!M1243*20)</f>
        <v>106</v>
      </c>
      <c r="G1230">
        <f>ROUND(IF(OR(ISERROR(FIND(Summary!$P$89,CONCATENATE(C1230,D1230,E1230))),ISERROR(FIND(Summary!$Q$89,A1230))),Summary!$R$45,IF(H1230&gt;Summary!$V$3,Summary!$R$46,Summary!$R$45))*(B1230+30),0)</f>
        <v>2</v>
      </c>
      <c r="H1230">
        <f>IF(H1229&gt;Summary!$V$4,0,H1229+F1229)</f>
        <v>76091</v>
      </c>
      <c r="I1230" s="26">
        <f>DATE(YEAR(Summary!$V$2),MONTH(Summary!$V$2),DAY(Summary!$V$2)+INT(H1230/480))</f>
        <v>43748</v>
      </c>
      <c r="J1230" s="27">
        <f t="shared" si="19"/>
        <v>0.50763888888888886</v>
      </c>
    </row>
    <row r="1231" spans="1:10">
      <c r="A1231" t="str">
        <f>VLOOKUP(Summary!M1230,Summary!$P$13:$Q$24,2)</f>
        <v>B1200-fire</v>
      </c>
      <c r="B1231">
        <f>ROUND(NORMINV(Summary!M1232,VLOOKUP(A1231,Summary!$Q$13:$S$24,3,FALSE),VLOOKUP(A1231,Summary!$Q$13:$S$24,3,FALSE)/6),-1)</f>
        <v>1310</v>
      </c>
      <c r="C1231" t="str">
        <f>IF(AND(H1231=0,C1230=Summary!$P$2),Summary!$Q$2,IF(AND(H1231=0,C1230=Summary!$Q$2),Summary!$R$2,C1230))</f>
        <v>Jared</v>
      </c>
      <c r="D1231" t="str">
        <f>IF(C1231=Summary!$P$26,VLOOKUP(Summary!M1238,Summary!$Q$26:$R$27,2),IF('Run Data'!C1231=Summary!$P$28,VLOOKUP(Summary!M1238,Summary!$Q$28:$R$29,2),VLOOKUP(Summary!M1238,Summary!$Q$30:$R$32,2)))</f>
        <v>Sprig 2</v>
      </c>
      <c r="E1231" t="str">
        <f>VLOOKUP(Summary!M1241,Summary!$P$42:$Q$43,2)</f>
        <v>86</v>
      </c>
      <c r="F1231">
        <f>IF(LEFT(A1231,3)="B60",20,IF(LEFT(A1231,3)="B12",30,25))+B1231*0.5+INT(Summary!M1244*20)</f>
        <v>692</v>
      </c>
      <c r="G1231">
        <f>ROUND(IF(OR(ISERROR(FIND(Summary!$P$89,CONCATENATE(C1231,D1231,E1231))),ISERROR(FIND(Summary!$Q$89,A1231))),Summary!$R$45,IF(H1231&gt;Summary!$V$3,Summary!$R$46,Summary!$R$45))*(B1231+30),0)</f>
        <v>13</v>
      </c>
      <c r="H1231">
        <f>IF(H1230&gt;Summary!$V$4,0,H1230+F1230)</f>
        <v>76197</v>
      </c>
      <c r="I1231" s="26">
        <f>DATE(YEAR(Summary!$V$2),MONTH(Summary!$V$2),DAY(Summary!$V$2)+INT(H1231/480))</f>
        <v>43748</v>
      </c>
      <c r="J1231" s="27">
        <f t="shared" si="19"/>
        <v>0.58124999999999993</v>
      </c>
    </row>
    <row r="1232" spans="1:10">
      <c r="A1232" t="str">
        <f>VLOOKUP(Summary!M1231,Summary!$P$13:$Q$24,2)</f>
        <v>B600-fire</v>
      </c>
      <c r="B1232">
        <f>ROUND(NORMINV(Summary!M1233,VLOOKUP(A1232,Summary!$Q$13:$S$24,3,FALSE),VLOOKUP(A1232,Summary!$Q$13:$S$24,3,FALSE)/6),-1)</f>
        <v>360</v>
      </c>
      <c r="C1232" t="str">
        <f>IF(AND(H1232=0,C1231=Summary!$P$2),Summary!$Q$2,IF(AND(H1232=0,C1231=Summary!$Q$2),Summary!$R$2,C1231))</f>
        <v>Jared</v>
      </c>
      <c r="D1232" t="str">
        <f>IF(C1232=Summary!$P$26,VLOOKUP(Summary!M1239,Summary!$Q$26:$R$27,2),IF('Run Data'!C1232=Summary!$P$28,VLOOKUP(Summary!M1239,Summary!$Q$28:$R$29,2),VLOOKUP(Summary!M1239,Summary!$Q$30:$R$32,2)))</f>
        <v>Sprig 3</v>
      </c>
      <c r="E1232" t="str">
        <f>VLOOKUP(Summary!M1242,Summary!$P$42:$Q$43,2)</f>
        <v>86</v>
      </c>
      <c r="F1232">
        <f>IF(LEFT(A1232,3)="B60",20,IF(LEFT(A1232,3)="B12",30,25))+B1232*0.5+INT(Summary!M1245*20)</f>
        <v>218</v>
      </c>
      <c r="G1232">
        <f>ROUND(IF(OR(ISERROR(FIND(Summary!$P$89,CONCATENATE(C1232,D1232,E1232))),ISERROR(FIND(Summary!$Q$89,A1232))),Summary!$R$45,IF(H1232&gt;Summary!$V$3,Summary!$R$46,Summary!$R$45))*(B1232+30),0)</f>
        <v>4</v>
      </c>
      <c r="H1232">
        <f>IF(H1231&gt;Summary!$V$4,0,H1231+F1231)</f>
        <v>76889</v>
      </c>
      <c r="I1232" s="26">
        <f>DATE(YEAR(Summary!$V$2),MONTH(Summary!$V$2),DAY(Summary!$V$2)+INT(H1232/480))</f>
        <v>43750</v>
      </c>
      <c r="J1232" s="27">
        <f t="shared" si="19"/>
        <v>0.39513888888888887</v>
      </c>
    </row>
    <row r="1233" spans="1:10">
      <c r="A1233" t="str">
        <f>VLOOKUP(Summary!M1232,Summary!$P$13:$Q$24,2)</f>
        <v>B1700-plum</v>
      </c>
      <c r="B1233">
        <f>ROUND(NORMINV(Summary!M1234,VLOOKUP(A1233,Summary!$Q$13:$S$24,3,FALSE),VLOOKUP(A1233,Summary!$Q$13:$S$24,3,FALSE)/6),-1)</f>
        <v>270</v>
      </c>
      <c r="C1233" t="str">
        <f>IF(AND(H1233=0,C1232=Summary!$P$2),Summary!$Q$2,IF(AND(H1233=0,C1232=Summary!$Q$2),Summary!$R$2,C1232))</f>
        <v>Jared</v>
      </c>
      <c r="D1233" t="str">
        <f>IF(C1233=Summary!$P$26,VLOOKUP(Summary!M1240,Summary!$Q$26:$R$27,2),IF('Run Data'!C1233=Summary!$P$28,VLOOKUP(Summary!M1240,Summary!$Q$28:$R$29,2),VLOOKUP(Summary!M1240,Summary!$Q$30:$R$32,2)))</f>
        <v>Sprig 1</v>
      </c>
      <c r="E1233" t="str">
        <f>VLOOKUP(Summary!M1243,Summary!$P$42:$Q$43,2)</f>
        <v>86</v>
      </c>
      <c r="F1233">
        <f>IF(LEFT(A1233,3)="B60",20,IF(LEFT(A1233,3)="B12",30,25))+B1233*0.5+INT(Summary!M1246*20)</f>
        <v>170</v>
      </c>
      <c r="G1233">
        <f>ROUND(IF(OR(ISERROR(FIND(Summary!$P$89,CONCATENATE(C1233,D1233,E1233))),ISERROR(FIND(Summary!$Q$89,A1233))),Summary!$R$45,IF(H1233&gt;Summary!$V$3,Summary!$R$46,Summary!$R$45))*(B1233+30),0)</f>
        <v>36</v>
      </c>
      <c r="H1233">
        <f>IF(H1232&gt;Summary!$V$4,0,H1232+F1232)</f>
        <v>77107</v>
      </c>
      <c r="I1233" s="26">
        <f>DATE(YEAR(Summary!$V$2),MONTH(Summary!$V$2),DAY(Summary!$V$2)+INT(H1233/480))</f>
        <v>43750</v>
      </c>
      <c r="J1233" s="27">
        <f t="shared" ref="J1233:J1296" si="20">TIME(INT(MOD(H1233,480)/60)+8,MOD(MOD(H1233,480),60),0)</f>
        <v>0.54652777777777783</v>
      </c>
    </row>
    <row r="1234" spans="1:10">
      <c r="A1234" t="str">
        <f>VLOOKUP(Summary!M1233,Summary!$P$13:$Q$24,2)</f>
        <v>B1200-plum</v>
      </c>
      <c r="B1234">
        <f>ROUND(NORMINV(Summary!M1235,VLOOKUP(A1234,Summary!$Q$13:$S$24,3,FALSE),VLOOKUP(A1234,Summary!$Q$13:$S$24,3,FALSE)/6),-1)</f>
        <v>420</v>
      </c>
      <c r="C1234" t="str">
        <f>IF(AND(H1234=0,C1233=Summary!$P$2),Summary!$Q$2,IF(AND(H1234=0,C1233=Summary!$Q$2),Summary!$R$2,C1233))</f>
        <v>Jared</v>
      </c>
      <c r="D1234" t="str">
        <f>IF(C1234=Summary!$P$26,VLOOKUP(Summary!M1241,Summary!$Q$26:$R$27,2),IF('Run Data'!C1234=Summary!$P$28,VLOOKUP(Summary!M1241,Summary!$Q$28:$R$29,2),VLOOKUP(Summary!M1241,Summary!$Q$30:$R$32,2)))</f>
        <v>Sprig 2</v>
      </c>
      <c r="E1234" t="str">
        <f>VLOOKUP(Summary!M1244,Summary!$P$42:$Q$43,2)</f>
        <v>86</v>
      </c>
      <c r="F1234">
        <f>IF(LEFT(A1234,3)="B60",20,IF(LEFT(A1234,3)="B12",30,25))+B1234*0.5+INT(Summary!M1247*20)</f>
        <v>247</v>
      </c>
      <c r="G1234">
        <f>ROUND(IF(OR(ISERROR(FIND(Summary!$P$89,CONCATENATE(C1234,D1234,E1234))),ISERROR(FIND(Summary!$Q$89,A1234))),Summary!$R$45,IF(H1234&gt;Summary!$V$3,Summary!$R$46,Summary!$R$45))*(B1234+30),0)</f>
        <v>5</v>
      </c>
      <c r="H1234">
        <f>IF(H1233&gt;Summary!$V$4,0,H1233+F1233)</f>
        <v>77277</v>
      </c>
      <c r="I1234" s="26">
        <f>DATE(YEAR(Summary!$V$2),MONTH(Summary!$V$2),DAY(Summary!$V$2)+INT(H1234/480))</f>
        <v>43750</v>
      </c>
      <c r="J1234" s="27">
        <f t="shared" si="20"/>
        <v>0.6645833333333333</v>
      </c>
    </row>
    <row r="1235" spans="1:10">
      <c r="A1235" t="str">
        <f>VLOOKUP(Summary!M1234,Summary!$P$13:$Q$24,2)</f>
        <v>B1200-plum</v>
      </c>
      <c r="B1235">
        <f>ROUND(NORMINV(Summary!M1236,VLOOKUP(A1235,Summary!$Q$13:$S$24,3,FALSE),VLOOKUP(A1235,Summary!$Q$13:$S$24,3,FALSE)/6),-1)</f>
        <v>530</v>
      </c>
      <c r="C1235" t="str">
        <f>IF(AND(H1235=0,C1234=Summary!$P$2),Summary!$Q$2,IF(AND(H1235=0,C1234=Summary!$Q$2),Summary!$R$2,C1234))</f>
        <v>Jared</v>
      </c>
      <c r="D1235" t="str">
        <f>IF(C1235=Summary!$P$26,VLOOKUP(Summary!M1242,Summary!$Q$26:$R$27,2),IF('Run Data'!C1235=Summary!$P$28,VLOOKUP(Summary!M1242,Summary!$Q$28:$R$29,2),VLOOKUP(Summary!M1242,Summary!$Q$30:$R$32,2)))</f>
        <v>Sprig 3</v>
      </c>
      <c r="E1235" t="str">
        <f>VLOOKUP(Summary!M1245,Summary!$P$42:$Q$43,2)</f>
        <v>87b</v>
      </c>
      <c r="F1235">
        <f>IF(LEFT(A1235,3)="B60",20,IF(LEFT(A1235,3)="B12",30,25))+B1235*0.5+INT(Summary!M1248*20)</f>
        <v>314</v>
      </c>
      <c r="G1235">
        <f>ROUND(IF(OR(ISERROR(FIND(Summary!$P$89,CONCATENATE(C1235,D1235,E1235))),ISERROR(FIND(Summary!$Q$89,A1235))),Summary!$R$45,IF(H1235&gt;Summary!$V$3,Summary!$R$46,Summary!$R$45))*(B1235+30),0)</f>
        <v>6</v>
      </c>
      <c r="H1235">
        <f>IF(H1234&gt;Summary!$V$4,0,H1234+F1234)</f>
        <v>77524</v>
      </c>
      <c r="I1235" s="26">
        <f>DATE(YEAR(Summary!$V$2),MONTH(Summary!$V$2),DAY(Summary!$V$2)+INT(H1235/480))</f>
        <v>43751</v>
      </c>
      <c r="J1235" s="27">
        <f t="shared" si="20"/>
        <v>0.50277777777777777</v>
      </c>
    </row>
    <row r="1236" spans="1:10">
      <c r="A1236" t="str">
        <f>VLOOKUP(Summary!M1235,Summary!$P$13:$Q$24,2)</f>
        <v>B1200-plum</v>
      </c>
      <c r="B1236">
        <f>ROUND(NORMINV(Summary!M1237,VLOOKUP(A1236,Summary!$Q$13:$S$24,3,FALSE),VLOOKUP(A1236,Summary!$Q$13:$S$24,3,FALSE)/6),-1)</f>
        <v>490</v>
      </c>
      <c r="C1236" t="str">
        <f>IF(AND(H1236=0,C1235=Summary!$P$2),Summary!$Q$2,IF(AND(H1236=0,C1235=Summary!$Q$2),Summary!$R$2,C1235))</f>
        <v>Jared</v>
      </c>
      <c r="D1236" t="str">
        <f>IF(C1236=Summary!$P$26,VLOOKUP(Summary!M1243,Summary!$Q$26:$R$27,2),IF('Run Data'!C1236=Summary!$P$28,VLOOKUP(Summary!M1243,Summary!$Q$28:$R$29,2),VLOOKUP(Summary!M1243,Summary!$Q$30:$R$32,2)))</f>
        <v>Sprig 1</v>
      </c>
      <c r="E1236" t="str">
        <f>VLOOKUP(Summary!M1246,Summary!$P$42:$Q$43,2)</f>
        <v>86</v>
      </c>
      <c r="F1236">
        <f>IF(LEFT(A1236,3)="B60",20,IF(LEFT(A1236,3)="B12",30,25))+B1236*0.5+INT(Summary!M1249*20)</f>
        <v>294</v>
      </c>
      <c r="G1236">
        <f>ROUND(IF(OR(ISERROR(FIND(Summary!$P$89,CONCATENATE(C1236,D1236,E1236))),ISERROR(FIND(Summary!$Q$89,A1236))),Summary!$R$45,IF(H1236&gt;Summary!$V$3,Summary!$R$46,Summary!$R$45))*(B1236+30),0)</f>
        <v>5</v>
      </c>
      <c r="H1236">
        <f>IF(H1235&gt;Summary!$V$4,0,H1235+F1235)</f>
        <v>77838</v>
      </c>
      <c r="I1236" s="26">
        <f>DATE(YEAR(Summary!$V$2),MONTH(Summary!$V$2),DAY(Summary!$V$2)+INT(H1236/480))</f>
        <v>43752</v>
      </c>
      <c r="J1236" s="27">
        <f t="shared" si="20"/>
        <v>0.38750000000000001</v>
      </c>
    </row>
    <row r="1237" spans="1:10">
      <c r="A1237" t="str">
        <f>VLOOKUP(Summary!M1236,Summary!$P$13:$Q$24,2)</f>
        <v>B1700-fire</v>
      </c>
      <c r="B1237">
        <f>ROUND(NORMINV(Summary!M1238,VLOOKUP(A1237,Summary!$Q$13:$S$24,3,FALSE),VLOOKUP(A1237,Summary!$Q$13:$S$24,3,FALSE)/6),-1)</f>
        <v>670</v>
      </c>
      <c r="C1237" t="str">
        <f>IF(AND(H1237=0,C1236=Summary!$P$2),Summary!$Q$2,IF(AND(H1237=0,C1236=Summary!$Q$2),Summary!$R$2,C1236))</f>
        <v>Jared</v>
      </c>
      <c r="D1237" t="str">
        <f>IF(C1237=Summary!$P$26,VLOOKUP(Summary!M1244,Summary!$Q$26:$R$27,2),IF('Run Data'!C1237=Summary!$P$28,VLOOKUP(Summary!M1244,Summary!$Q$28:$R$29,2),VLOOKUP(Summary!M1244,Summary!$Q$30:$R$32,2)))</f>
        <v>Sprig 2</v>
      </c>
      <c r="E1237" t="str">
        <f>VLOOKUP(Summary!M1247,Summary!$P$42:$Q$43,2)</f>
        <v>86</v>
      </c>
      <c r="F1237">
        <f>IF(LEFT(A1237,3)="B60",20,IF(LEFT(A1237,3)="B12",30,25))+B1237*0.5+INT(Summary!M1250*20)</f>
        <v>375</v>
      </c>
      <c r="G1237">
        <f>ROUND(IF(OR(ISERROR(FIND(Summary!$P$89,CONCATENATE(C1237,D1237,E1237))),ISERROR(FIND(Summary!$Q$89,A1237))),Summary!$R$45,IF(H1237&gt;Summary!$V$3,Summary!$R$46,Summary!$R$45))*(B1237+30),0)</f>
        <v>84</v>
      </c>
      <c r="H1237">
        <f>IF(H1236&gt;Summary!$V$4,0,H1236+F1236)</f>
        <v>78132</v>
      </c>
      <c r="I1237" s="26">
        <f>DATE(YEAR(Summary!$V$2),MONTH(Summary!$V$2),DAY(Summary!$V$2)+INT(H1237/480))</f>
        <v>43752</v>
      </c>
      <c r="J1237" s="27">
        <f t="shared" si="20"/>
        <v>0.59166666666666667</v>
      </c>
    </row>
    <row r="1238" spans="1:10">
      <c r="A1238" t="str">
        <f>VLOOKUP(Summary!M1237,Summary!$P$13:$Q$24,2)</f>
        <v>B1200-lime</v>
      </c>
      <c r="B1238">
        <f>ROUND(NORMINV(Summary!M1239,VLOOKUP(A1238,Summary!$Q$13:$S$24,3,FALSE),VLOOKUP(A1238,Summary!$Q$13:$S$24,3,FALSE)/6),-1)</f>
        <v>1080</v>
      </c>
      <c r="C1238" t="str">
        <f>IF(AND(H1238=0,C1237=Summary!$P$2),Summary!$Q$2,IF(AND(H1238=0,C1237=Summary!$Q$2),Summary!$R$2,C1237))</f>
        <v>Jared</v>
      </c>
      <c r="D1238" t="str">
        <f>IF(C1238=Summary!$P$26,VLOOKUP(Summary!M1245,Summary!$Q$26:$R$27,2),IF('Run Data'!C1238=Summary!$P$28,VLOOKUP(Summary!M1245,Summary!$Q$28:$R$29,2),VLOOKUP(Summary!M1245,Summary!$Q$30:$R$32,2)))</f>
        <v>Sprig 3</v>
      </c>
      <c r="E1238" t="str">
        <f>VLOOKUP(Summary!M1248,Summary!$P$42:$Q$43,2)</f>
        <v>87b</v>
      </c>
      <c r="F1238">
        <f>IF(LEFT(A1238,3)="B60",20,IF(LEFT(A1238,3)="B12",30,25))+B1238*0.5+INT(Summary!M1251*20)</f>
        <v>582</v>
      </c>
      <c r="G1238">
        <f>ROUND(IF(OR(ISERROR(FIND(Summary!$P$89,CONCATENATE(C1238,D1238,E1238))),ISERROR(FIND(Summary!$Q$89,A1238))),Summary!$R$45,IF(H1238&gt;Summary!$V$3,Summary!$R$46,Summary!$R$45))*(B1238+30),0)</f>
        <v>11</v>
      </c>
      <c r="H1238">
        <f>IF(H1237&gt;Summary!$V$4,0,H1237+F1237)</f>
        <v>78507</v>
      </c>
      <c r="I1238" s="26">
        <f>DATE(YEAR(Summary!$V$2),MONTH(Summary!$V$2),DAY(Summary!$V$2)+INT(H1238/480))</f>
        <v>43753</v>
      </c>
      <c r="J1238" s="27">
        <f t="shared" si="20"/>
        <v>0.51874999999999993</v>
      </c>
    </row>
    <row r="1239" spans="1:10">
      <c r="A1239" t="str">
        <f>VLOOKUP(Summary!M1238,Summary!$P$13:$Q$24,2)</f>
        <v>B1200-plum</v>
      </c>
      <c r="B1239">
        <f>ROUND(NORMINV(Summary!M1240,VLOOKUP(A1239,Summary!$Q$13:$S$24,3,FALSE),VLOOKUP(A1239,Summary!$Q$13:$S$24,3,FALSE)/6),-1)</f>
        <v>380</v>
      </c>
      <c r="C1239" t="str">
        <f>IF(AND(H1239=0,C1238=Summary!$P$2),Summary!$Q$2,IF(AND(H1239=0,C1238=Summary!$Q$2),Summary!$R$2,C1238))</f>
        <v>Jared</v>
      </c>
      <c r="D1239" t="str">
        <f>IF(C1239=Summary!$P$26,VLOOKUP(Summary!M1246,Summary!$Q$26:$R$27,2),IF('Run Data'!C1239=Summary!$P$28,VLOOKUP(Summary!M1246,Summary!$Q$28:$R$29,2),VLOOKUP(Summary!M1246,Summary!$Q$30:$R$32,2)))</f>
        <v>Sprig 2</v>
      </c>
      <c r="E1239" t="str">
        <f>VLOOKUP(Summary!M1249,Summary!$P$42:$Q$43,2)</f>
        <v>87b</v>
      </c>
      <c r="F1239">
        <f>IF(LEFT(A1239,3)="B60",20,IF(LEFT(A1239,3)="B12",30,25))+B1239*0.5+INT(Summary!M1252*20)</f>
        <v>228</v>
      </c>
      <c r="G1239">
        <f>ROUND(IF(OR(ISERROR(FIND(Summary!$P$89,CONCATENATE(C1239,D1239,E1239))),ISERROR(FIND(Summary!$Q$89,A1239))),Summary!$R$45,IF(H1239&gt;Summary!$V$3,Summary!$R$46,Summary!$R$45))*(B1239+30),0)</f>
        <v>4</v>
      </c>
      <c r="H1239">
        <f>IF(H1238&gt;Summary!$V$4,0,H1238+F1238)</f>
        <v>79089</v>
      </c>
      <c r="I1239" s="26">
        <f>DATE(YEAR(Summary!$V$2),MONTH(Summary!$V$2),DAY(Summary!$V$2)+INT(H1239/480))</f>
        <v>43754</v>
      </c>
      <c r="J1239" s="27">
        <f t="shared" si="20"/>
        <v>0.58958333333333335</v>
      </c>
    </row>
    <row r="1240" spans="1:10">
      <c r="A1240" t="str">
        <f>VLOOKUP(Summary!M1239,Summary!$P$13:$Q$24,2)</f>
        <v>B1700-lime</v>
      </c>
      <c r="B1240">
        <f>ROUND(NORMINV(Summary!M1241,VLOOKUP(A1240,Summary!$Q$13:$S$24,3,FALSE),VLOOKUP(A1240,Summary!$Q$13:$S$24,3,FALSE)/6),-1)</f>
        <v>390</v>
      </c>
      <c r="C1240" t="str">
        <f>IF(AND(H1240=0,C1239=Summary!$P$2),Summary!$Q$2,IF(AND(H1240=0,C1239=Summary!$Q$2),Summary!$R$2,C1239))</f>
        <v>Jared</v>
      </c>
      <c r="D1240" t="str">
        <f>IF(C1240=Summary!$P$26,VLOOKUP(Summary!M1247,Summary!$Q$26:$R$27,2),IF('Run Data'!C1240=Summary!$P$28,VLOOKUP(Summary!M1247,Summary!$Q$28:$R$29,2),VLOOKUP(Summary!M1247,Summary!$Q$30:$R$32,2)))</f>
        <v>Sprig 2</v>
      </c>
      <c r="E1240" t="str">
        <f>VLOOKUP(Summary!M1250,Summary!$P$42:$Q$43,2)</f>
        <v>86</v>
      </c>
      <c r="F1240">
        <f>IF(LEFT(A1240,3)="B60",20,IF(LEFT(A1240,3)="B12",30,25))+B1240*0.5+INT(Summary!M1253*20)</f>
        <v>233</v>
      </c>
      <c r="G1240">
        <f>ROUND(IF(OR(ISERROR(FIND(Summary!$P$89,CONCATENATE(C1240,D1240,E1240))),ISERROR(FIND(Summary!$Q$89,A1240))),Summary!$R$45,IF(H1240&gt;Summary!$V$3,Summary!$R$46,Summary!$R$45))*(B1240+30),0)</f>
        <v>50</v>
      </c>
      <c r="H1240">
        <f>IF(H1239&gt;Summary!$V$4,0,H1239+F1239)</f>
        <v>79317</v>
      </c>
      <c r="I1240" s="26">
        <f>DATE(YEAR(Summary!$V$2),MONTH(Summary!$V$2),DAY(Summary!$V$2)+INT(H1240/480))</f>
        <v>43755</v>
      </c>
      <c r="J1240" s="27">
        <f t="shared" si="20"/>
        <v>0.4145833333333333</v>
      </c>
    </row>
    <row r="1241" spans="1:10">
      <c r="A1241" t="str">
        <f>VLOOKUP(Summary!M1240,Summary!$P$13:$Q$24,2)</f>
        <v>B600-lime</v>
      </c>
      <c r="B1241">
        <f>ROUND(NORMINV(Summary!M1242,VLOOKUP(A1241,Summary!$Q$13:$S$24,3,FALSE),VLOOKUP(A1241,Summary!$Q$13:$S$24,3,FALSE)/6),-1)</f>
        <v>320</v>
      </c>
      <c r="C1241" t="str">
        <f>IF(AND(H1241=0,C1240=Summary!$P$2),Summary!$Q$2,IF(AND(H1241=0,C1240=Summary!$Q$2),Summary!$R$2,C1240))</f>
        <v>Jared</v>
      </c>
      <c r="D1241" t="str">
        <f>IF(C1241=Summary!$P$26,VLOOKUP(Summary!M1248,Summary!$Q$26:$R$27,2),IF('Run Data'!C1241=Summary!$P$28,VLOOKUP(Summary!M1248,Summary!$Q$28:$R$29,2),VLOOKUP(Summary!M1248,Summary!$Q$30:$R$32,2)))</f>
        <v>Sprig 3</v>
      </c>
      <c r="E1241" t="str">
        <f>VLOOKUP(Summary!M1251,Summary!$P$42:$Q$43,2)</f>
        <v>86</v>
      </c>
      <c r="F1241">
        <f>IF(LEFT(A1241,3)="B60",20,IF(LEFT(A1241,3)="B12",30,25))+B1241*0.5+INT(Summary!M1254*20)</f>
        <v>195</v>
      </c>
      <c r="G1241">
        <f>ROUND(IF(OR(ISERROR(FIND(Summary!$P$89,CONCATENATE(C1241,D1241,E1241))),ISERROR(FIND(Summary!$Q$89,A1241))),Summary!$R$45,IF(H1241&gt;Summary!$V$3,Summary!$R$46,Summary!$R$45))*(B1241+30),0)</f>
        <v>4</v>
      </c>
      <c r="H1241">
        <f>IF(H1240&gt;Summary!$V$4,0,H1240+F1240)</f>
        <v>79550</v>
      </c>
      <c r="I1241" s="26">
        <f>DATE(YEAR(Summary!$V$2),MONTH(Summary!$V$2),DAY(Summary!$V$2)+INT(H1241/480))</f>
        <v>43755</v>
      </c>
      <c r="J1241" s="27">
        <f t="shared" si="20"/>
        <v>0.57638888888888895</v>
      </c>
    </row>
    <row r="1242" spans="1:10">
      <c r="A1242" t="str">
        <f>VLOOKUP(Summary!M1241,Summary!$P$13:$Q$24,2)</f>
        <v>B1200-sky</v>
      </c>
      <c r="B1242">
        <f>ROUND(NORMINV(Summary!M1243,VLOOKUP(A1242,Summary!$Q$13:$S$24,3,FALSE),VLOOKUP(A1242,Summary!$Q$13:$S$24,3,FALSE)/6),-1)</f>
        <v>940</v>
      </c>
      <c r="C1242" t="str">
        <f>IF(AND(H1242=0,C1241=Summary!$P$2),Summary!$Q$2,IF(AND(H1242=0,C1241=Summary!$Q$2),Summary!$R$2,C1241))</f>
        <v>Jared</v>
      </c>
      <c r="D1242" t="str">
        <f>IF(C1242=Summary!$P$26,VLOOKUP(Summary!M1249,Summary!$Q$26:$R$27,2),IF('Run Data'!C1242=Summary!$P$28,VLOOKUP(Summary!M1249,Summary!$Q$28:$R$29,2),VLOOKUP(Summary!M1249,Summary!$Q$30:$R$32,2)))</f>
        <v>Sprig 3</v>
      </c>
      <c r="E1242" t="str">
        <f>VLOOKUP(Summary!M1252,Summary!$P$42:$Q$43,2)</f>
        <v>86</v>
      </c>
      <c r="F1242">
        <f>IF(LEFT(A1242,3)="B60",20,IF(LEFT(A1242,3)="B12",30,25))+B1242*0.5+INT(Summary!M1255*20)</f>
        <v>516</v>
      </c>
      <c r="G1242">
        <f>ROUND(IF(OR(ISERROR(FIND(Summary!$P$89,CONCATENATE(C1242,D1242,E1242))),ISERROR(FIND(Summary!$Q$89,A1242))),Summary!$R$45,IF(H1242&gt;Summary!$V$3,Summary!$R$46,Summary!$R$45))*(B1242+30),0)</f>
        <v>10</v>
      </c>
      <c r="H1242">
        <f>IF(H1241&gt;Summary!$V$4,0,H1241+F1241)</f>
        <v>79745</v>
      </c>
      <c r="I1242" s="26">
        <f>DATE(YEAR(Summary!$V$2),MONTH(Summary!$V$2),DAY(Summary!$V$2)+INT(H1242/480))</f>
        <v>43756</v>
      </c>
      <c r="J1242" s="27">
        <f t="shared" si="20"/>
        <v>0.37847222222222227</v>
      </c>
    </row>
    <row r="1243" spans="1:10">
      <c r="A1243" t="str">
        <f>VLOOKUP(Summary!M1242,Summary!$P$13:$Q$24,2)</f>
        <v>B1200-lime</v>
      </c>
      <c r="B1243">
        <f>ROUND(NORMINV(Summary!M1244,VLOOKUP(A1243,Summary!$Q$13:$S$24,3,FALSE),VLOOKUP(A1243,Summary!$Q$13:$S$24,3,FALSE)/6),-1)</f>
        <v>750</v>
      </c>
      <c r="C1243" t="str">
        <f>IF(AND(H1243=0,C1242=Summary!$P$2),Summary!$Q$2,IF(AND(H1243=0,C1242=Summary!$Q$2),Summary!$R$2,C1242))</f>
        <v>Jared</v>
      </c>
      <c r="D1243" t="str">
        <f>IF(C1243=Summary!$P$26,VLOOKUP(Summary!M1250,Summary!$Q$26:$R$27,2),IF('Run Data'!C1243=Summary!$P$28,VLOOKUP(Summary!M1250,Summary!$Q$28:$R$29,2),VLOOKUP(Summary!M1250,Summary!$Q$30:$R$32,2)))</f>
        <v>Sprig 3</v>
      </c>
      <c r="E1243" t="str">
        <f>VLOOKUP(Summary!M1253,Summary!$P$42:$Q$43,2)</f>
        <v>86</v>
      </c>
      <c r="F1243">
        <f>IF(LEFT(A1243,3)="B60",20,IF(LEFT(A1243,3)="B12",30,25))+B1243*0.5+INT(Summary!M1256*20)</f>
        <v>416</v>
      </c>
      <c r="G1243">
        <f>ROUND(IF(OR(ISERROR(FIND(Summary!$P$89,CONCATENATE(C1243,D1243,E1243))),ISERROR(FIND(Summary!$Q$89,A1243))),Summary!$R$45,IF(H1243&gt;Summary!$V$3,Summary!$R$46,Summary!$R$45))*(B1243+30),0)</f>
        <v>8</v>
      </c>
      <c r="H1243">
        <f>IF(H1242&gt;Summary!$V$4,0,H1242+F1242)</f>
        <v>80261</v>
      </c>
      <c r="I1243" s="26">
        <f>DATE(YEAR(Summary!$V$2),MONTH(Summary!$V$2),DAY(Summary!$V$2)+INT(H1243/480))</f>
        <v>43757</v>
      </c>
      <c r="J1243" s="27">
        <f t="shared" si="20"/>
        <v>0.40347222222222223</v>
      </c>
    </row>
    <row r="1244" spans="1:10">
      <c r="A1244" t="str">
        <f>VLOOKUP(Summary!M1243,Summary!$P$13:$Q$24,2)</f>
        <v>B600-sky</v>
      </c>
      <c r="B1244">
        <f>ROUND(NORMINV(Summary!M1245,VLOOKUP(A1244,Summary!$Q$13:$S$24,3,FALSE),VLOOKUP(A1244,Summary!$Q$13:$S$24,3,FALSE)/6),-1)</f>
        <v>640</v>
      </c>
      <c r="C1244" t="str">
        <f>IF(AND(H1244=0,C1243=Summary!$P$2),Summary!$Q$2,IF(AND(H1244=0,C1243=Summary!$Q$2),Summary!$R$2,C1243))</f>
        <v>Jared</v>
      </c>
      <c r="D1244" t="str">
        <f>IF(C1244=Summary!$P$26,VLOOKUP(Summary!M1251,Summary!$Q$26:$R$27,2),IF('Run Data'!C1244=Summary!$P$28,VLOOKUP(Summary!M1251,Summary!$Q$28:$R$29,2),VLOOKUP(Summary!M1251,Summary!$Q$30:$R$32,2)))</f>
        <v>Sprig 3</v>
      </c>
      <c r="E1244" t="str">
        <f>VLOOKUP(Summary!M1254,Summary!$P$42:$Q$43,2)</f>
        <v>86</v>
      </c>
      <c r="F1244">
        <f>IF(LEFT(A1244,3)="B60",20,IF(LEFT(A1244,3)="B12",30,25))+B1244*0.5+INT(Summary!M1257*20)</f>
        <v>353</v>
      </c>
      <c r="G1244">
        <f>ROUND(IF(OR(ISERROR(FIND(Summary!$P$89,CONCATENATE(C1244,D1244,E1244))),ISERROR(FIND(Summary!$Q$89,A1244))),Summary!$R$45,IF(H1244&gt;Summary!$V$3,Summary!$R$46,Summary!$R$45))*(B1244+30),0)</f>
        <v>7</v>
      </c>
      <c r="H1244">
        <f>IF(H1243&gt;Summary!$V$4,0,H1243+F1243)</f>
        <v>80677</v>
      </c>
      <c r="I1244" s="26">
        <f>DATE(YEAR(Summary!$V$2),MONTH(Summary!$V$2),DAY(Summary!$V$2)+INT(H1244/480))</f>
        <v>43758</v>
      </c>
      <c r="J1244" s="27">
        <f t="shared" si="20"/>
        <v>0.35902777777777778</v>
      </c>
    </row>
    <row r="1245" spans="1:10">
      <c r="A1245" t="str">
        <f>VLOOKUP(Summary!M1244,Summary!$P$13:$Q$24,2)</f>
        <v>B1200-sky</v>
      </c>
      <c r="B1245">
        <f>ROUND(NORMINV(Summary!M1246,VLOOKUP(A1245,Summary!$Q$13:$S$24,3,FALSE),VLOOKUP(A1245,Summary!$Q$13:$S$24,3,FALSE)/6),-1)</f>
        <v>1200</v>
      </c>
      <c r="C1245" t="str">
        <f>IF(AND(H1245=0,C1244=Summary!$P$2),Summary!$Q$2,IF(AND(H1245=0,C1244=Summary!$Q$2),Summary!$R$2,C1244))</f>
        <v>Jared</v>
      </c>
      <c r="D1245" t="str">
        <f>IF(C1245=Summary!$P$26,VLOOKUP(Summary!M1252,Summary!$Q$26:$R$27,2),IF('Run Data'!C1245=Summary!$P$28,VLOOKUP(Summary!M1252,Summary!$Q$28:$R$29,2),VLOOKUP(Summary!M1252,Summary!$Q$30:$R$32,2)))</f>
        <v>Sprig 2</v>
      </c>
      <c r="E1245" t="str">
        <f>VLOOKUP(Summary!M1255,Summary!$P$42:$Q$43,2)</f>
        <v>86</v>
      </c>
      <c r="F1245">
        <f>IF(LEFT(A1245,3)="B60",20,IF(LEFT(A1245,3)="B12",30,25))+B1245*0.5+INT(Summary!M1258*20)</f>
        <v>636</v>
      </c>
      <c r="G1245">
        <f>ROUND(IF(OR(ISERROR(FIND(Summary!$P$89,CONCATENATE(C1245,D1245,E1245))),ISERROR(FIND(Summary!$Q$89,A1245))),Summary!$R$45,IF(H1245&gt;Summary!$V$3,Summary!$R$46,Summary!$R$45))*(B1245+30),0)</f>
        <v>12</v>
      </c>
      <c r="H1245">
        <f>IF(H1244&gt;Summary!$V$4,0,H1244+F1244)</f>
        <v>81030</v>
      </c>
      <c r="I1245" s="26">
        <f>DATE(YEAR(Summary!$V$2),MONTH(Summary!$V$2),DAY(Summary!$V$2)+INT(H1245/480))</f>
        <v>43758</v>
      </c>
      <c r="J1245" s="27">
        <f t="shared" si="20"/>
        <v>0.60416666666666663</v>
      </c>
    </row>
    <row r="1246" spans="1:10">
      <c r="A1246" t="str">
        <f>VLOOKUP(Summary!M1245,Summary!$P$13:$Q$24,2)</f>
        <v>B1700-lime</v>
      </c>
      <c r="B1246">
        <f>ROUND(NORMINV(Summary!M1247,VLOOKUP(A1246,Summary!$Q$13:$S$24,3,FALSE),VLOOKUP(A1246,Summary!$Q$13:$S$24,3,FALSE)/6),-1)</f>
        <v>380</v>
      </c>
      <c r="C1246" t="str">
        <f>IF(AND(H1246=0,C1245=Summary!$P$2),Summary!$Q$2,IF(AND(H1246=0,C1245=Summary!$Q$2),Summary!$R$2,C1245))</f>
        <v>Jared</v>
      </c>
      <c r="D1246" t="str">
        <f>IF(C1246=Summary!$P$26,VLOOKUP(Summary!M1253,Summary!$Q$26:$R$27,2),IF('Run Data'!C1246=Summary!$P$28,VLOOKUP(Summary!M1253,Summary!$Q$28:$R$29,2),VLOOKUP(Summary!M1253,Summary!$Q$30:$R$32,2)))</f>
        <v>Sprig 3</v>
      </c>
      <c r="E1246" t="str">
        <f>VLOOKUP(Summary!M1256,Summary!$P$42:$Q$43,2)</f>
        <v>86</v>
      </c>
      <c r="F1246">
        <f>IF(LEFT(A1246,3)="B60",20,IF(LEFT(A1246,3)="B12",30,25))+B1246*0.5+INT(Summary!M1259*20)</f>
        <v>222</v>
      </c>
      <c r="G1246">
        <f>ROUND(IF(OR(ISERROR(FIND(Summary!$P$89,CONCATENATE(C1246,D1246,E1246))),ISERROR(FIND(Summary!$Q$89,A1246))),Summary!$R$45,IF(H1246&gt;Summary!$V$3,Summary!$R$46,Summary!$R$45))*(B1246+30),0)</f>
        <v>49</v>
      </c>
      <c r="H1246">
        <f>IF(H1245&gt;Summary!$V$4,0,H1245+F1245)</f>
        <v>81666</v>
      </c>
      <c r="I1246" s="26">
        <f>DATE(YEAR(Summary!$V$2),MONTH(Summary!$V$2),DAY(Summary!$V$2)+INT(H1246/480))</f>
        <v>43760</v>
      </c>
      <c r="J1246" s="27">
        <f t="shared" si="20"/>
        <v>0.37916666666666665</v>
      </c>
    </row>
    <row r="1247" spans="1:10">
      <c r="A1247" t="str">
        <f>VLOOKUP(Summary!M1246,Summary!$P$13:$Q$24,2)</f>
        <v>B1200-fire</v>
      </c>
      <c r="B1247">
        <f>ROUND(NORMINV(Summary!M1248,VLOOKUP(A1247,Summary!$Q$13:$S$24,3,FALSE),VLOOKUP(A1247,Summary!$Q$13:$S$24,3,FALSE)/6),-1)</f>
        <v>1540</v>
      </c>
      <c r="C1247" t="str">
        <f>IF(AND(H1247=0,C1246=Summary!$P$2),Summary!$Q$2,IF(AND(H1247=0,C1246=Summary!$Q$2),Summary!$R$2,C1246))</f>
        <v>Jared</v>
      </c>
      <c r="D1247" t="str">
        <f>IF(C1247=Summary!$P$26,VLOOKUP(Summary!M1254,Summary!$Q$26:$R$27,2),IF('Run Data'!C1247=Summary!$P$28,VLOOKUP(Summary!M1254,Summary!$Q$28:$R$29,2),VLOOKUP(Summary!M1254,Summary!$Q$30:$R$32,2)))</f>
        <v>Sprig 3</v>
      </c>
      <c r="E1247" t="str">
        <f>VLOOKUP(Summary!M1257,Summary!$P$42:$Q$43,2)</f>
        <v>86</v>
      </c>
      <c r="F1247">
        <f>IF(LEFT(A1247,3)="B60",20,IF(LEFT(A1247,3)="B12",30,25))+B1247*0.5+INT(Summary!M1260*20)</f>
        <v>803</v>
      </c>
      <c r="G1247">
        <f>ROUND(IF(OR(ISERROR(FIND(Summary!$P$89,CONCATENATE(C1247,D1247,E1247))),ISERROR(FIND(Summary!$Q$89,A1247))),Summary!$R$45,IF(H1247&gt;Summary!$V$3,Summary!$R$46,Summary!$R$45))*(B1247+30),0)</f>
        <v>16</v>
      </c>
      <c r="H1247">
        <f>IF(H1246&gt;Summary!$V$4,0,H1246+F1246)</f>
        <v>81888</v>
      </c>
      <c r="I1247" s="26">
        <f>DATE(YEAR(Summary!$V$2),MONTH(Summary!$V$2),DAY(Summary!$V$2)+INT(H1247/480))</f>
        <v>43760</v>
      </c>
      <c r="J1247" s="27">
        <f t="shared" si="20"/>
        <v>0.53333333333333333</v>
      </c>
    </row>
    <row r="1248" spans="1:10">
      <c r="A1248" t="str">
        <f>VLOOKUP(Summary!M1247,Summary!$P$13:$Q$24,2)</f>
        <v>B1200-sky</v>
      </c>
      <c r="B1248">
        <f>ROUND(NORMINV(Summary!M1249,VLOOKUP(A1248,Summary!$Q$13:$S$24,3,FALSE),VLOOKUP(A1248,Summary!$Q$13:$S$24,3,FALSE)/6),-1)</f>
        <v>1550</v>
      </c>
      <c r="C1248" t="str">
        <f>IF(AND(H1248=0,C1247=Summary!$P$2),Summary!$Q$2,IF(AND(H1248=0,C1247=Summary!$Q$2),Summary!$R$2,C1247))</f>
        <v>Jared</v>
      </c>
      <c r="D1248" t="str">
        <f>IF(C1248=Summary!$P$26,VLOOKUP(Summary!M1255,Summary!$Q$26:$R$27,2),IF('Run Data'!C1248=Summary!$P$28,VLOOKUP(Summary!M1255,Summary!$Q$28:$R$29,2),VLOOKUP(Summary!M1255,Summary!$Q$30:$R$32,2)))</f>
        <v>Sprig 3</v>
      </c>
      <c r="E1248" t="str">
        <f>VLOOKUP(Summary!M1258,Summary!$P$42:$Q$43,2)</f>
        <v>86</v>
      </c>
      <c r="F1248">
        <f>IF(LEFT(A1248,3)="B60",20,IF(LEFT(A1248,3)="B12",30,25))+B1248*0.5+INT(Summary!M1261*20)</f>
        <v>814</v>
      </c>
      <c r="G1248">
        <f>ROUND(IF(OR(ISERROR(FIND(Summary!$P$89,CONCATENATE(C1248,D1248,E1248))),ISERROR(FIND(Summary!$Q$89,A1248))),Summary!$R$45,IF(H1248&gt;Summary!$V$3,Summary!$R$46,Summary!$R$45))*(B1248+30),0)</f>
        <v>16</v>
      </c>
      <c r="H1248">
        <f>IF(H1247&gt;Summary!$V$4,0,H1247+F1247)</f>
        <v>82691</v>
      </c>
      <c r="I1248" s="26">
        <f>DATE(YEAR(Summary!$V$2),MONTH(Summary!$V$2),DAY(Summary!$V$2)+INT(H1248/480))</f>
        <v>43762</v>
      </c>
      <c r="J1248" s="27">
        <f t="shared" si="20"/>
        <v>0.42430555555555555</v>
      </c>
    </row>
    <row r="1249" spans="1:10">
      <c r="A1249" t="str">
        <f>VLOOKUP(Summary!M1248,Summary!$P$13:$Q$24,2)</f>
        <v>B1700-lime</v>
      </c>
      <c r="B1249">
        <f>ROUND(NORMINV(Summary!M1250,VLOOKUP(A1249,Summary!$Q$13:$S$24,3,FALSE),VLOOKUP(A1249,Summary!$Q$13:$S$24,3,FALSE)/6),-1)</f>
        <v>450</v>
      </c>
      <c r="C1249" t="str">
        <f>IF(AND(H1249=0,C1248=Summary!$P$2),Summary!$Q$2,IF(AND(H1249=0,C1248=Summary!$Q$2),Summary!$R$2,C1248))</f>
        <v>Jared</v>
      </c>
      <c r="D1249" t="str">
        <f>IF(C1249=Summary!$P$26,VLOOKUP(Summary!M1256,Summary!$Q$26:$R$27,2),IF('Run Data'!C1249=Summary!$P$28,VLOOKUP(Summary!M1256,Summary!$Q$28:$R$29,2),VLOOKUP(Summary!M1256,Summary!$Q$30:$R$32,2)))</f>
        <v>Sprig 2</v>
      </c>
      <c r="E1249" t="str">
        <f>VLOOKUP(Summary!M1259,Summary!$P$42:$Q$43,2)</f>
        <v>86</v>
      </c>
      <c r="F1249">
        <f>IF(LEFT(A1249,3)="B60",20,IF(LEFT(A1249,3)="B12",30,25))+B1249*0.5+INT(Summary!M1262*20)</f>
        <v>262</v>
      </c>
      <c r="G1249">
        <f>ROUND(IF(OR(ISERROR(FIND(Summary!$P$89,CONCATENATE(C1249,D1249,E1249))),ISERROR(FIND(Summary!$Q$89,A1249))),Summary!$R$45,IF(H1249&gt;Summary!$V$3,Summary!$R$46,Summary!$R$45))*(B1249+30),0)</f>
        <v>58</v>
      </c>
      <c r="H1249">
        <f>IF(H1248&gt;Summary!$V$4,0,H1248+F1248)</f>
        <v>83505</v>
      </c>
      <c r="I1249" s="26">
        <f>DATE(YEAR(Summary!$V$2),MONTH(Summary!$V$2),DAY(Summary!$V$2)+INT(H1249/480))</f>
        <v>43763</v>
      </c>
      <c r="J1249" s="27">
        <f t="shared" si="20"/>
        <v>0.65625</v>
      </c>
    </row>
    <row r="1250" spans="1:10">
      <c r="A1250" t="str">
        <f>VLOOKUP(Summary!M1249,Summary!$P$13:$Q$24,2)</f>
        <v>B1700-lime</v>
      </c>
      <c r="B1250">
        <f>ROUND(NORMINV(Summary!M1251,VLOOKUP(A1250,Summary!$Q$13:$S$24,3,FALSE),VLOOKUP(A1250,Summary!$Q$13:$S$24,3,FALSE)/6),-1)</f>
        <v>420</v>
      </c>
      <c r="C1250" t="str">
        <f>IF(AND(H1250=0,C1249=Summary!$P$2),Summary!$Q$2,IF(AND(H1250=0,C1249=Summary!$Q$2),Summary!$R$2,C1249))</f>
        <v>Jared</v>
      </c>
      <c r="D1250" t="str">
        <f>IF(C1250=Summary!$P$26,VLOOKUP(Summary!M1257,Summary!$Q$26:$R$27,2),IF('Run Data'!C1250=Summary!$P$28,VLOOKUP(Summary!M1257,Summary!$Q$28:$R$29,2),VLOOKUP(Summary!M1257,Summary!$Q$30:$R$32,2)))</f>
        <v>Sprig 3</v>
      </c>
      <c r="E1250" t="str">
        <f>VLOOKUP(Summary!M1260,Summary!$P$42:$Q$43,2)</f>
        <v>86</v>
      </c>
      <c r="F1250">
        <f>IF(LEFT(A1250,3)="B60",20,IF(LEFT(A1250,3)="B12",30,25))+B1250*0.5+INT(Summary!M1263*20)</f>
        <v>245</v>
      </c>
      <c r="G1250">
        <f>ROUND(IF(OR(ISERROR(FIND(Summary!$P$89,CONCATENATE(C1250,D1250,E1250))),ISERROR(FIND(Summary!$Q$89,A1250))),Summary!$R$45,IF(H1250&gt;Summary!$V$3,Summary!$R$46,Summary!$R$45))*(B1250+30),0)</f>
        <v>54</v>
      </c>
      <c r="H1250">
        <f>IF(H1249&gt;Summary!$V$4,0,H1249+F1249)</f>
        <v>83767</v>
      </c>
      <c r="I1250" s="26">
        <f>DATE(YEAR(Summary!$V$2),MONTH(Summary!$V$2),DAY(Summary!$V$2)+INT(H1250/480))</f>
        <v>43764</v>
      </c>
      <c r="J1250" s="27">
        <f t="shared" si="20"/>
        <v>0.50486111111111109</v>
      </c>
    </row>
    <row r="1251" spans="1:10">
      <c r="A1251" t="str">
        <f>VLOOKUP(Summary!M1250,Summary!$P$13:$Q$24,2)</f>
        <v>B1700-plum</v>
      </c>
      <c r="B1251">
        <f>ROUND(NORMINV(Summary!M1252,VLOOKUP(A1251,Summary!$Q$13:$S$24,3,FALSE),VLOOKUP(A1251,Summary!$Q$13:$S$24,3,FALSE)/6),-1)</f>
        <v>290</v>
      </c>
      <c r="C1251" t="str">
        <f>IF(AND(H1251=0,C1250=Summary!$P$2),Summary!$Q$2,IF(AND(H1251=0,C1250=Summary!$Q$2),Summary!$R$2,C1250))</f>
        <v>Jared</v>
      </c>
      <c r="D1251" t="str">
        <f>IF(C1251=Summary!$P$26,VLOOKUP(Summary!M1258,Summary!$Q$26:$R$27,2),IF('Run Data'!C1251=Summary!$P$28,VLOOKUP(Summary!M1258,Summary!$Q$28:$R$29,2),VLOOKUP(Summary!M1258,Summary!$Q$30:$R$32,2)))</f>
        <v>Sprig 2</v>
      </c>
      <c r="E1251" t="str">
        <f>VLOOKUP(Summary!M1261,Summary!$P$42:$Q$43,2)</f>
        <v>86</v>
      </c>
      <c r="F1251">
        <f>IF(LEFT(A1251,3)="B60",20,IF(LEFT(A1251,3)="B12",30,25))+B1251*0.5+INT(Summary!M1264*20)</f>
        <v>182</v>
      </c>
      <c r="G1251">
        <f>ROUND(IF(OR(ISERROR(FIND(Summary!$P$89,CONCATENATE(C1251,D1251,E1251))),ISERROR(FIND(Summary!$Q$89,A1251))),Summary!$R$45,IF(H1251&gt;Summary!$V$3,Summary!$R$46,Summary!$R$45))*(B1251+30),0)</f>
        <v>38</v>
      </c>
      <c r="H1251">
        <f>IF(H1250&gt;Summary!$V$4,0,H1250+F1250)</f>
        <v>84012</v>
      </c>
      <c r="I1251" s="26">
        <f>DATE(YEAR(Summary!$V$2),MONTH(Summary!$V$2),DAY(Summary!$V$2)+INT(H1251/480))</f>
        <v>43765</v>
      </c>
      <c r="J1251" s="27">
        <f t="shared" si="20"/>
        <v>0.34166666666666662</v>
      </c>
    </row>
    <row r="1252" spans="1:10">
      <c r="A1252" t="str">
        <f>VLOOKUP(Summary!M1251,Summary!$P$13:$Q$24,2)</f>
        <v>B1200-lime</v>
      </c>
      <c r="B1252">
        <f>ROUND(NORMINV(Summary!M1253,VLOOKUP(A1252,Summary!$Q$13:$S$24,3,FALSE),VLOOKUP(A1252,Summary!$Q$13:$S$24,3,FALSE)/6),-1)</f>
        <v>870</v>
      </c>
      <c r="C1252" t="str">
        <f>IF(AND(H1252=0,C1251=Summary!$P$2),Summary!$Q$2,IF(AND(H1252=0,C1251=Summary!$Q$2),Summary!$R$2,C1251))</f>
        <v>Jared</v>
      </c>
      <c r="D1252" t="str">
        <f>IF(C1252=Summary!$P$26,VLOOKUP(Summary!M1259,Summary!$Q$26:$R$27,2),IF('Run Data'!C1252=Summary!$P$28,VLOOKUP(Summary!M1259,Summary!$Q$28:$R$29,2),VLOOKUP(Summary!M1259,Summary!$Q$30:$R$32,2)))</f>
        <v>Sprig 2</v>
      </c>
      <c r="E1252" t="str">
        <f>VLOOKUP(Summary!M1262,Summary!$P$42:$Q$43,2)</f>
        <v>86</v>
      </c>
      <c r="F1252">
        <f>IF(LEFT(A1252,3)="B60",20,IF(LEFT(A1252,3)="B12",30,25))+B1252*0.5+INT(Summary!M1265*20)</f>
        <v>469</v>
      </c>
      <c r="G1252">
        <f>ROUND(IF(OR(ISERROR(FIND(Summary!$P$89,CONCATENATE(C1252,D1252,E1252))),ISERROR(FIND(Summary!$Q$89,A1252))),Summary!$R$45,IF(H1252&gt;Summary!$V$3,Summary!$R$46,Summary!$R$45))*(B1252+30),0)</f>
        <v>9</v>
      </c>
      <c r="H1252">
        <f>IF(H1251&gt;Summary!$V$4,0,H1251+F1251)</f>
        <v>84194</v>
      </c>
      <c r="I1252" s="26">
        <f>DATE(YEAR(Summary!$V$2),MONTH(Summary!$V$2),DAY(Summary!$V$2)+INT(H1252/480))</f>
        <v>43765</v>
      </c>
      <c r="J1252" s="27">
        <f t="shared" si="20"/>
        <v>0.4680555555555555</v>
      </c>
    </row>
    <row r="1253" spans="1:10">
      <c r="A1253" t="str">
        <f>VLOOKUP(Summary!M1252,Summary!$P$13:$Q$24,2)</f>
        <v>B1200-sky</v>
      </c>
      <c r="B1253">
        <f>ROUND(NORMINV(Summary!M1254,VLOOKUP(A1253,Summary!$Q$13:$S$24,3,FALSE),VLOOKUP(A1253,Summary!$Q$13:$S$24,3,FALSE)/6),-1)</f>
        <v>1340</v>
      </c>
      <c r="C1253" t="str">
        <f>IF(AND(H1253=0,C1252=Summary!$P$2),Summary!$Q$2,IF(AND(H1253=0,C1252=Summary!$Q$2),Summary!$R$2,C1252))</f>
        <v>Jared</v>
      </c>
      <c r="D1253" t="str">
        <f>IF(C1253=Summary!$P$26,VLOOKUP(Summary!M1260,Summary!$Q$26:$R$27,2),IF('Run Data'!C1253=Summary!$P$28,VLOOKUP(Summary!M1260,Summary!$Q$28:$R$29,2),VLOOKUP(Summary!M1260,Summary!$Q$30:$R$32,2)))</f>
        <v>Sprig 1</v>
      </c>
      <c r="E1253" t="str">
        <f>VLOOKUP(Summary!M1263,Summary!$P$42:$Q$43,2)</f>
        <v>86</v>
      </c>
      <c r="F1253">
        <f>IF(LEFT(A1253,3)="B60",20,IF(LEFT(A1253,3)="B12",30,25))+B1253*0.5+INT(Summary!M1266*20)</f>
        <v>716</v>
      </c>
      <c r="G1253">
        <f>ROUND(IF(OR(ISERROR(FIND(Summary!$P$89,CONCATENATE(C1253,D1253,E1253))),ISERROR(FIND(Summary!$Q$89,A1253))),Summary!$R$45,IF(H1253&gt;Summary!$V$3,Summary!$R$46,Summary!$R$45))*(B1253+30),0)</f>
        <v>14</v>
      </c>
      <c r="H1253">
        <f>IF(H1252&gt;Summary!$V$4,0,H1252+F1252)</f>
        <v>84663</v>
      </c>
      <c r="I1253" s="26">
        <f>DATE(YEAR(Summary!$V$2),MONTH(Summary!$V$2),DAY(Summary!$V$2)+INT(H1253/480))</f>
        <v>43766</v>
      </c>
      <c r="J1253" s="27">
        <f t="shared" si="20"/>
        <v>0.4604166666666667</v>
      </c>
    </row>
    <row r="1254" spans="1:10">
      <c r="A1254" t="str">
        <f>VLOOKUP(Summary!M1253,Summary!$P$13:$Q$24,2)</f>
        <v>B1200-lime</v>
      </c>
      <c r="B1254">
        <f>ROUND(NORMINV(Summary!M1255,VLOOKUP(A1254,Summary!$Q$13:$S$24,3,FALSE),VLOOKUP(A1254,Summary!$Q$13:$S$24,3,FALSE)/6),-1)</f>
        <v>920</v>
      </c>
      <c r="C1254" t="str">
        <f>IF(AND(H1254=0,C1253=Summary!$P$2),Summary!$Q$2,IF(AND(H1254=0,C1253=Summary!$Q$2),Summary!$R$2,C1253))</f>
        <v>Jared</v>
      </c>
      <c r="D1254" t="str">
        <f>IF(C1254=Summary!$P$26,VLOOKUP(Summary!M1261,Summary!$Q$26:$R$27,2),IF('Run Data'!C1254=Summary!$P$28,VLOOKUP(Summary!M1261,Summary!$Q$28:$R$29,2),VLOOKUP(Summary!M1261,Summary!$Q$30:$R$32,2)))</f>
        <v>Sprig 2</v>
      </c>
      <c r="E1254" t="str">
        <f>VLOOKUP(Summary!M1264,Summary!$P$42:$Q$43,2)</f>
        <v>86</v>
      </c>
      <c r="F1254">
        <f>IF(LEFT(A1254,3)="B60",20,IF(LEFT(A1254,3)="B12",30,25))+B1254*0.5+INT(Summary!M1267*20)</f>
        <v>493</v>
      </c>
      <c r="G1254">
        <f>ROUND(IF(OR(ISERROR(FIND(Summary!$P$89,CONCATENATE(C1254,D1254,E1254))),ISERROR(FIND(Summary!$Q$89,A1254))),Summary!$R$45,IF(H1254&gt;Summary!$V$3,Summary!$R$46,Summary!$R$45))*(B1254+30),0)</f>
        <v>10</v>
      </c>
      <c r="H1254">
        <f>IF(H1253&gt;Summary!$V$4,0,H1253+F1253)</f>
        <v>85379</v>
      </c>
      <c r="I1254" s="26">
        <f>DATE(YEAR(Summary!$V$2),MONTH(Summary!$V$2),DAY(Summary!$V$2)+INT(H1254/480))</f>
        <v>43767</v>
      </c>
      <c r="J1254" s="27">
        <f t="shared" si="20"/>
        <v>0.62430555555555556</v>
      </c>
    </row>
    <row r="1255" spans="1:10">
      <c r="A1255" t="str">
        <f>VLOOKUP(Summary!M1254,Summary!$P$13:$Q$24,2)</f>
        <v>B1700-plum</v>
      </c>
      <c r="B1255">
        <f>ROUND(NORMINV(Summary!M1256,VLOOKUP(A1255,Summary!$Q$13:$S$24,3,FALSE),VLOOKUP(A1255,Summary!$Q$13:$S$24,3,FALSE)/6),-1)</f>
        <v>310</v>
      </c>
      <c r="C1255" t="str">
        <f>IF(AND(H1255=0,C1254=Summary!$P$2),Summary!$Q$2,IF(AND(H1255=0,C1254=Summary!$Q$2),Summary!$R$2,C1254))</f>
        <v>Jared</v>
      </c>
      <c r="D1255" t="str">
        <f>IF(C1255=Summary!$P$26,VLOOKUP(Summary!M1262,Summary!$Q$26:$R$27,2),IF('Run Data'!C1255=Summary!$P$28,VLOOKUP(Summary!M1262,Summary!$Q$28:$R$29,2),VLOOKUP(Summary!M1262,Summary!$Q$30:$R$32,2)))</f>
        <v>Sprig 3</v>
      </c>
      <c r="E1255" t="str">
        <f>VLOOKUP(Summary!M1265,Summary!$P$42:$Q$43,2)</f>
        <v>86</v>
      </c>
      <c r="F1255">
        <f>IF(LEFT(A1255,3)="B60",20,IF(LEFT(A1255,3)="B12",30,25))+B1255*0.5+INT(Summary!M1268*20)</f>
        <v>187</v>
      </c>
      <c r="G1255">
        <f>ROUND(IF(OR(ISERROR(FIND(Summary!$P$89,CONCATENATE(C1255,D1255,E1255))),ISERROR(FIND(Summary!$Q$89,A1255))),Summary!$R$45,IF(H1255&gt;Summary!$V$3,Summary!$R$46,Summary!$R$45))*(B1255+30),0)</f>
        <v>41</v>
      </c>
      <c r="H1255">
        <f>IF(H1254&gt;Summary!$V$4,0,H1254+F1254)</f>
        <v>85872</v>
      </c>
      <c r="I1255" s="26">
        <f>DATE(YEAR(Summary!$V$2),MONTH(Summary!$V$2),DAY(Summary!$V$2)+INT(H1255/480))</f>
        <v>43768</v>
      </c>
      <c r="J1255" s="27">
        <f t="shared" si="20"/>
        <v>0.6333333333333333</v>
      </c>
    </row>
    <row r="1256" spans="1:10">
      <c r="A1256" t="str">
        <f>VLOOKUP(Summary!M1255,Summary!$P$13:$Q$24,2)</f>
        <v>B1700-sky</v>
      </c>
      <c r="B1256">
        <f>ROUND(NORMINV(Summary!M1257,VLOOKUP(A1256,Summary!$Q$13:$S$24,3,FALSE),VLOOKUP(A1256,Summary!$Q$13:$S$24,3,FALSE)/6),-1)</f>
        <v>590</v>
      </c>
      <c r="C1256" t="str">
        <f>IF(AND(H1256=0,C1255=Summary!$P$2),Summary!$Q$2,IF(AND(H1256=0,C1255=Summary!$Q$2),Summary!$R$2,C1255))</f>
        <v>Jared</v>
      </c>
      <c r="D1256" t="str">
        <f>IF(C1256=Summary!$P$26,VLOOKUP(Summary!M1263,Summary!$Q$26:$R$27,2),IF('Run Data'!C1256=Summary!$P$28,VLOOKUP(Summary!M1263,Summary!$Q$28:$R$29,2),VLOOKUP(Summary!M1263,Summary!$Q$30:$R$32,2)))</f>
        <v>Sprig 2</v>
      </c>
      <c r="E1256" t="str">
        <f>VLOOKUP(Summary!M1266,Summary!$P$42:$Q$43,2)</f>
        <v>86</v>
      </c>
      <c r="F1256">
        <f>IF(LEFT(A1256,3)="B60",20,IF(LEFT(A1256,3)="B12",30,25))+B1256*0.5+INT(Summary!M1269*20)</f>
        <v>337</v>
      </c>
      <c r="G1256">
        <f>ROUND(IF(OR(ISERROR(FIND(Summary!$P$89,CONCATENATE(C1256,D1256,E1256))),ISERROR(FIND(Summary!$Q$89,A1256))),Summary!$R$45,IF(H1256&gt;Summary!$V$3,Summary!$R$46,Summary!$R$45))*(B1256+30),0)</f>
        <v>74</v>
      </c>
      <c r="H1256">
        <f>IF(H1255&gt;Summary!$V$4,0,H1255+F1255)</f>
        <v>86059</v>
      </c>
      <c r="I1256" s="26">
        <f>DATE(YEAR(Summary!$V$2),MONTH(Summary!$V$2),DAY(Summary!$V$2)+INT(H1256/480))</f>
        <v>43769</v>
      </c>
      <c r="J1256" s="27">
        <f t="shared" si="20"/>
        <v>0.42986111111111108</v>
      </c>
    </row>
    <row r="1257" spans="1:10">
      <c r="A1257" t="str">
        <f>VLOOKUP(Summary!M1256,Summary!$P$13:$Q$24,2)</f>
        <v>B1200-lime</v>
      </c>
      <c r="B1257">
        <f>ROUND(NORMINV(Summary!M1258,VLOOKUP(A1257,Summary!$Q$13:$S$24,3,FALSE),VLOOKUP(A1257,Summary!$Q$13:$S$24,3,FALSE)/6),-1)</f>
        <v>740</v>
      </c>
      <c r="C1257" t="str">
        <f>IF(AND(H1257=0,C1256=Summary!$P$2),Summary!$Q$2,IF(AND(H1257=0,C1256=Summary!$Q$2),Summary!$R$2,C1256))</f>
        <v>Jared</v>
      </c>
      <c r="D1257" t="str">
        <f>IF(C1257=Summary!$P$26,VLOOKUP(Summary!M1264,Summary!$Q$26:$R$27,2),IF('Run Data'!C1257=Summary!$P$28,VLOOKUP(Summary!M1264,Summary!$Q$28:$R$29,2),VLOOKUP(Summary!M1264,Summary!$Q$30:$R$32,2)))</f>
        <v>Sprig 3</v>
      </c>
      <c r="E1257" t="str">
        <f>VLOOKUP(Summary!M1267,Summary!$P$42:$Q$43,2)</f>
        <v>86</v>
      </c>
      <c r="F1257">
        <f>IF(LEFT(A1257,3)="B60",20,IF(LEFT(A1257,3)="B12",30,25))+B1257*0.5+INT(Summary!M1270*20)</f>
        <v>402</v>
      </c>
      <c r="G1257">
        <f>ROUND(IF(OR(ISERROR(FIND(Summary!$P$89,CONCATENATE(C1257,D1257,E1257))),ISERROR(FIND(Summary!$Q$89,A1257))),Summary!$R$45,IF(H1257&gt;Summary!$V$3,Summary!$R$46,Summary!$R$45))*(B1257+30),0)</f>
        <v>8</v>
      </c>
      <c r="H1257">
        <f>IF(H1256&gt;Summary!$V$4,0,H1256+F1256)</f>
        <v>86396</v>
      </c>
      <c r="I1257" s="26">
        <f>DATE(YEAR(Summary!$V$2),MONTH(Summary!$V$2),DAY(Summary!$V$2)+INT(H1257/480))</f>
        <v>43769</v>
      </c>
      <c r="J1257" s="27">
        <f t="shared" si="20"/>
        <v>0.66388888888888886</v>
      </c>
    </row>
    <row r="1258" spans="1:10">
      <c r="A1258" t="str">
        <f>VLOOKUP(Summary!M1257,Summary!$P$13:$Q$24,2)</f>
        <v>B1200-lime</v>
      </c>
      <c r="B1258">
        <f>ROUND(NORMINV(Summary!M1259,VLOOKUP(A1258,Summary!$Q$13:$S$24,3,FALSE),VLOOKUP(A1258,Summary!$Q$13:$S$24,3,FALSE)/6),-1)</f>
        <v>760</v>
      </c>
      <c r="C1258" t="str">
        <f>IF(AND(H1258=0,C1257=Summary!$P$2),Summary!$Q$2,IF(AND(H1258=0,C1257=Summary!$Q$2),Summary!$R$2,C1257))</f>
        <v>Jared</v>
      </c>
      <c r="D1258" t="str">
        <f>IF(C1258=Summary!$P$26,VLOOKUP(Summary!M1265,Summary!$Q$26:$R$27,2),IF('Run Data'!C1258=Summary!$P$28,VLOOKUP(Summary!M1265,Summary!$Q$28:$R$29,2),VLOOKUP(Summary!M1265,Summary!$Q$30:$R$32,2)))</f>
        <v>Sprig 2</v>
      </c>
      <c r="E1258" t="str">
        <f>VLOOKUP(Summary!M1268,Summary!$P$42:$Q$43,2)</f>
        <v>86</v>
      </c>
      <c r="F1258">
        <f>IF(LEFT(A1258,3)="B60",20,IF(LEFT(A1258,3)="B12",30,25))+B1258*0.5+INT(Summary!M1271*20)</f>
        <v>414</v>
      </c>
      <c r="G1258">
        <f>ROUND(IF(OR(ISERROR(FIND(Summary!$P$89,CONCATENATE(C1258,D1258,E1258))),ISERROR(FIND(Summary!$Q$89,A1258))),Summary!$R$45,IF(H1258&gt;Summary!$V$3,Summary!$R$46,Summary!$R$45))*(B1258+30),0)</f>
        <v>8</v>
      </c>
      <c r="H1258">
        <f>IF(H1257&gt;Summary!$V$4,0,H1257+F1257)</f>
        <v>86798</v>
      </c>
      <c r="I1258" s="26">
        <f>DATE(YEAR(Summary!$V$2),MONTH(Summary!$V$2),DAY(Summary!$V$2)+INT(H1258/480))</f>
        <v>43770</v>
      </c>
      <c r="J1258" s="27">
        <f t="shared" si="20"/>
        <v>0.60972222222222217</v>
      </c>
    </row>
    <row r="1259" spans="1:10">
      <c r="A1259" t="str">
        <f>VLOOKUP(Summary!M1258,Summary!$P$13:$Q$24,2)</f>
        <v>B1200-plum</v>
      </c>
      <c r="B1259">
        <f>ROUND(NORMINV(Summary!M1260,VLOOKUP(A1259,Summary!$Q$13:$S$24,3,FALSE),VLOOKUP(A1259,Summary!$Q$13:$S$24,3,FALSE)/6),-1)</f>
        <v>380</v>
      </c>
      <c r="C1259" t="str">
        <f>IF(AND(H1259=0,C1258=Summary!$P$2),Summary!$Q$2,IF(AND(H1259=0,C1258=Summary!$Q$2),Summary!$R$2,C1258))</f>
        <v>Jared</v>
      </c>
      <c r="D1259" t="str">
        <f>IF(C1259=Summary!$P$26,VLOOKUP(Summary!M1266,Summary!$Q$26:$R$27,2),IF('Run Data'!C1259=Summary!$P$28,VLOOKUP(Summary!M1266,Summary!$Q$28:$R$29,2),VLOOKUP(Summary!M1266,Summary!$Q$30:$R$32,2)))</f>
        <v>Sprig 3</v>
      </c>
      <c r="E1259" t="str">
        <f>VLOOKUP(Summary!M1269,Summary!$P$42:$Q$43,2)</f>
        <v>87b</v>
      </c>
      <c r="F1259">
        <f>IF(LEFT(A1259,3)="B60",20,IF(LEFT(A1259,3)="B12",30,25))+B1259*0.5+INT(Summary!M1272*20)</f>
        <v>224</v>
      </c>
      <c r="G1259">
        <f>ROUND(IF(OR(ISERROR(FIND(Summary!$P$89,CONCATENATE(C1259,D1259,E1259))),ISERROR(FIND(Summary!$Q$89,A1259))),Summary!$R$45,IF(H1259&gt;Summary!$V$3,Summary!$R$46,Summary!$R$45))*(B1259+30),0)</f>
        <v>4</v>
      </c>
      <c r="H1259">
        <f>IF(H1258&gt;Summary!$V$4,0,H1258+F1258)</f>
        <v>87212</v>
      </c>
      <c r="I1259" s="26">
        <f>DATE(YEAR(Summary!$V$2),MONTH(Summary!$V$2),DAY(Summary!$V$2)+INT(H1259/480))</f>
        <v>43771</v>
      </c>
      <c r="J1259" s="27">
        <f t="shared" si="20"/>
        <v>0.56388888888888888</v>
      </c>
    </row>
    <row r="1260" spans="1:10">
      <c r="A1260" t="str">
        <f>VLOOKUP(Summary!M1259,Summary!$P$13:$Q$24,2)</f>
        <v>B1200-sky</v>
      </c>
      <c r="B1260">
        <f>ROUND(NORMINV(Summary!M1261,VLOOKUP(A1260,Summary!$Q$13:$S$24,3,FALSE),VLOOKUP(A1260,Summary!$Q$13:$S$24,3,FALSE)/6),-1)</f>
        <v>1180</v>
      </c>
      <c r="C1260" t="str">
        <f>IF(AND(H1260=0,C1259=Summary!$P$2),Summary!$Q$2,IF(AND(H1260=0,C1259=Summary!$Q$2),Summary!$R$2,C1259))</f>
        <v>Jared</v>
      </c>
      <c r="D1260" t="str">
        <f>IF(C1260=Summary!$P$26,VLOOKUP(Summary!M1267,Summary!$Q$26:$R$27,2),IF('Run Data'!C1260=Summary!$P$28,VLOOKUP(Summary!M1267,Summary!$Q$28:$R$29,2),VLOOKUP(Summary!M1267,Summary!$Q$30:$R$32,2)))</f>
        <v>Sprig 1</v>
      </c>
      <c r="E1260" t="str">
        <f>VLOOKUP(Summary!M1270,Summary!$P$42:$Q$43,2)</f>
        <v>86</v>
      </c>
      <c r="F1260">
        <f>IF(LEFT(A1260,3)="B60",20,IF(LEFT(A1260,3)="B12",30,25))+B1260*0.5+INT(Summary!M1273*20)</f>
        <v>631</v>
      </c>
      <c r="G1260">
        <f>ROUND(IF(OR(ISERROR(FIND(Summary!$P$89,CONCATENATE(C1260,D1260,E1260))),ISERROR(FIND(Summary!$Q$89,A1260))),Summary!$R$45,IF(H1260&gt;Summary!$V$3,Summary!$R$46,Summary!$R$45))*(B1260+30),0)</f>
        <v>12</v>
      </c>
      <c r="H1260">
        <f>IF(H1259&gt;Summary!$V$4,0,H1259+F1259)</f>
        <v>87436</v>
      </c>
      <c r="I1260" s="26">
        <f>DATE(YEAR(Summary!$V$2),MONTH(Summary!$V$2),DAY(Summary!$V$2)+INT(H1260/480))</f>
        <v>43772</v>
      </c>
      <c r="J1260" s="27">
        <f t="shared" si="20"/>
        <v>0.38611111111111113</v>
      </c>
    </row>
    <row r="1261" spans="1:10">
      <c r="A1261" t="str">
        <f>VLOOKUP(Summary!M1260,Summary!$P$13:$Q$24,2)</f>
        <v>B600-lime</v>
      </c>
      <c r="B1261">
        <f>ROUND(NORMINV(Summary!M1262,VLOOKUP(A1261,Summary!$Q$13:$S$24,3,FALSE),VLOOKUP(A1261,Summary!$Q$13:$S$24,3,FALSE)/6),-1)</f>
        <v>320</v>
      </c>
      <c r="C1261" t="str">
        <f>IF(AND(H1261=0,C1260=Summary!$P$2),Summary!$Q$2,IF(AND(H1261=0,C1260=Summary!$Q$2),Summary!$R$2,C1260))</f>
        <v>Jared</v>
      </c>
      <c r="D1261" t="str">
        <f>IF(C1261=Summary!$P$26,VLOOKUP(Summary!M1268,Summary!$Q$26:$R$27,2),IF('Run Data'!C1261=Summary!$P$28,VLOOKUP(Summary!M1268,Summary!$Q$28:$R$29,2),VLOOKUP(Summary!M1268,Summary!$Q$30:$R$32,2)))</f>
        <v>Sprig 2</v>
      </c>
      <c r="E1261" t="str">
        <f>VLOOKUP(Summary!M1271,Summary!$P$42:$Q$43,2)</f>
        <v>86</v>
      </c>
      <c r="F1261">
        <f>IF(LEFT(A1261,3)="B60",20,IF(LEFT(A1261,3)="B12",30,25))+B1261*0.5+INT(Summary!M1274*20)</f>
        <v>198</v>
      </c>
      <c r="G1261">
        <f>ROUND(IF(OR(ISERROR(FIND(Summary!$P$89,CONCATENATE(C1261,D1261,E1261))),ISERROR(FIND(Summary!$Q$89,A1261))),Summary!$R$45,IF(H1261&gt;Summary!$V$3,Summary!$R$46,Summary!$R$45))*(B1261+30),0)</f>
        <v>4</v>
      </c>
      <c r="H1261">
        <f>IF(H1260&gt;Summary!$V$4,0,H1260+F1260)</f>
        <v>88067</v>
      </c>
      <c r="I1261" s="26">
        <f>DATE(YEAR(Summary!$V$2),MONTH(Summary!$V$2),DAY(Summary!$V$2)+INT(H1261/480))</f>
        <v>43773</v>
      </c>
      <c r="J1261" s="27">
        <f t="shared" si="20"/>
        <v>0.4909722222222222</v>
      </c>
    </row>
    <row r="1262" spans="1:10">
      <c r="A1262" t="str">
        <f>VLOOKUP(Summary!M1261,Summary!$P$13:$Q$24,2)</f>
        <v>B1200-fire</v>
      </c>
      <c r="B1262">
        <f>ROUND(NORMINV(Summary!M1263,VLOOKUP(A1262,Summary!$Q$13:$S$24,3,FALSE),VLOOKUP(A1262,Summary!$Q$13:$S$24,3,FALSE)/6),-1)</f>
        <v>1220</v>
      </c>
      <c r="C1262" t="str">
        <f>IF(AND(H1262=0,C1261=Summary!$P$2),Summary!$Q$2,IF(AND(H1262=0,C1261=Summary!$Q$2),Summary!$R$2,C1261))</f>
        <v>Jared</v>
      </c>
      <c r="D1262" t="str">
        <f>IF(C1262=Summary!$P$26,VLOOKUP(Summary!M1269,Summary!$Q$26:$R$27,2),IF('Run Data'!C1262=Summary!$P$28,VLOOKUP(Summary!M1269,Summary!$Q$28:$R$29,2),VLOOKUP(Summary!M1269,Summary!$Q$30:$R$32,2)))</f>
        <v>Sprig 3</v>
      </c>
      <c r="E1262" t="str">
        <f>VLOOKUP(Summary!M1272,Summary!$P$42:$Q$43,2)</f>
        <v>86</v>
      </c>
      <c r="F1262">
        <f>IF(LEFT(A1262,3)="B60",20,IF(LEFT(A1262,3)="B12",30,25))+B1262*0.5+INT(Summary!M1275*20)</f>
        <v>650</v>
      </c>
      <c r="G1262">
        <f>ROUND(IF(OR(ISERROR(FIND(Summary!$P$89,CONCATENATE(C1262,D1262,E1262))),ISERROR(FIND(Summary!$Q$89,A1262))),Summary!$R$45,IF(H1262&gt;Summary!$V$3,Summary!$R$46,Summary!$R$45))*(B1262+30),0)</f>
        <v>13</v>
      </c>
      <c r="H1262">
        <f>IF(H1261&gt;Summary!$V$4,0,H1261+F1261)</f>
        <v>88265</v>
      </c>
      <c r="I1262" s="26">
        <f>DATE(YEAR(Summary!$V$2),MONTH(Summary!$V$2),DAY(Summary!$V$2)+INT(H1262/480))</f>
        <v>43773</v>
      </c>
      <c r="J1262" s="27">
        <f t="shared" si="20"/>
        <v>0.62847222222222221</v>
      </c>
    </row>
    <row r="1263" spans="1:10">
      <c r="A1263" t="str">
        <f>VLOOKUP(Summary!M1262,Summary!$P$13:$Q$24,2)</f>
        <v>B1200-lime</v>
      </c>
      <c r="B1263">
        <f>ROUND(NORMINV(Summary!M1264,VLOOKUP(A1263,Summary!$Q$13:$S$24,3,FALSE),VLOOKUP(A1263,Summary!$Q$13:$S$24,3,FALSE)/6),-1)</f>
        <v>850</v>
      </c>
      <c r="C1263" t="str">
        <f>IF(AND(H1263=0,C1262=Summary!$P$2),Summary!$Q$2,IF(AND(H1263=0,C1262=Summary!$Q$2),Summary!$R$2,C1262))</f>
        <v>Jared</v>
      </c>
      <c r="D1263" t="str">
        <f>IF(C1263=Summary!$P$26,VLOOKUP(Summary!M1270,Summary!$Q$26:$R$27,2),IF('Run Data'!C1263=Summary!$P$28,VLOOKUP(Summary!M1270,Summary!$Q$28:$R$29,2),VLOOKUP(Summary!M1270,Summary!$Q$30:$R$32,2)))</f>
        <v>Sprig 1</v>
      </c>
      <c r="E1263" t="str">
        <f>VLOOKUP(Summary!M1273,Summary!$P$42:$Q$43,2)</f>
        <v>86</v>
      </c>
      <c r="F1263">
        <f>IF(LEFT(A1263,3)="B60",20,IF(LEFT(A1263,3)="B12",30,25))+B1263*0.5+INT(Summary!M1276*20)</f>
        <v>459</v>
      </c>
      <c r="G1263">
        <f>ROUND(IF(OR(ISERROR(FIND(Summary!$P$89,CONCATENATE(C1263,D1263,E1263))),ISERROR(FIND(Summary!$Q$89,A1263))),Summary!$R$45,IF(H1263&gt;Summary!$V$3,Summary!$R$46,Summary!$R$45))*(B1263+30),0)</f>
        <v>9</v>
      </c>
      <c r="H1263">
        <f>IF(H1262&gt;Summary!$V$4,0,H1262+F1262)</f>
        <v>88915</v>
      </c>
      <c r="I1263" s="26">
        <f>DATE(YEAR(Summary!$V$2),MONTH(Summary!$V$2),DAY(Summary!$V$2)+INT(H1263/480))</f>
        <v>43775</v>
      </c>
      <c r="J1263" s="27">
        <f t="shared" si="20"/>
        <v>0.41319444444444442</v>
      </c>
    </row>
    <row r="1264" spans="1:10">
      <c r="A1264" t="str">
        <f>VLOOKUP(Summary!M1263,Summary!$P$13:$Q$24,2)</f>
        <v>B1200-fire</v>
      </c>
      <c r="B1264">
        <f>ROUND(NORMINV(Summary!M1265,VLOOKUP(A1264,Summary!$Q$13:$S$24,3,FALSE),VLOOKUP(A1264,Summary!$Q$13:$S$24,3,FALSE)/6),-1)</f>
        <v>1040</v>
      </c>
      <c r="C1264" t="str">
        <f>IF(AND(H1264=0,C1263=Summary!$P$2),Summary!$Q$2,IF(AND(H1264=0,C1263=Summary!$Q$2),Summary!$R$2,C1263))</f>
        <v>Jared</v>
      </c>
      <c r="D1264" t="str">
        <f>IF(C1264=Summary!$P$26,VLOOKUP(Summary!M1271,Summary!$Q$26:$R$27,2),IF('Run Data'!C1264=Summary!$P$28,VLOOKUP(Summary!M1271,Summary!$Q$28:$R$29,2),VLOOKUP(Summary!M1271,Summary!$Q$30:$R$32,2)))</f>
        <v>Sprig 2</v>
      </c>
      <c r="E1264" t="str">
        <f>VLOOKUP(Summary!M1274,Summary!$P$42:$Q$43,2)</f>
        <v>87b</v>
      </c>
      <c r="F1264">
        <f>IF(LEFT(A1264,3)="B60",20,IF(LEFT(A1264,3)="B12",30,25))+B1264*0.5+INT(Summary!M1277*20)</f>
        <v>553</v>
      </c>
      <c r="G1264">
        <f>ROUND(IF(OR(ISERROR(FIND(Summary!$P$89,CONCATENATE(C1264,D1264,E1264))),ISERROR(FIND(Summary!$Q$89,A1264))),Summary!$R$45,IF(H1264&gt;Summary!$V$3,Summary!$R$46,Summary!$R$45))*(B1264+30),0)</f>
        <v>11</v>
      </c>
      <c r="H1264">
        <f>IF(H1263&gt;Summary!$V$4,0,H1263+F1263)</f>
        <v>89374</v>
      </c>
      <c r="I1264" s="26">
        <f>DATE(YEAR(Summary!$V$2),MONTH(Summary!$V$2),DAY(Summary!$V$2)+INT(H1264/480))</f>
        <v>43776</v>
      </c>
      <c r="J1264" s="27">
        <f t="shared" si="20"/>
        <v>0.39861111111111108</v>
      </c>
    </row>
    <row r="1265" spans="1:10">
      <c r="A1265" t="str">
        <f>VLOOKUP(Summary!M1264,Summary!$P$13:$Q$24,2)</f>
        <v>B1200-lime</v>
      </c>
      <c r="B1265">
        <f>ROUND(NORMINV(Summary!M1266,VLOOKUP(A1265,Summary!$Q$13:$S$24,3,FALSE),VLOOKUP(A1265,Summary!$Q$13:$S$24,3,FALSE)/6),-1)</f>
        <v>920</v>
      </c>
      <c r="C1265" t="str">
        <f>IF(AND(H1265=0,C1264=Summary!$P$2),Summary!$Q$2,IF(AND(H1265=0,C1264=Summary!$Q$2),Summary!$R$2,C1264))</f>
        <v>Jared</v>
      </c>
      <c r="D1265" t="str">
        <f>IF(C1265=Summary!$P$26,VLOOKUP(Summary!M1272,Summary!$Q$26:$R$27,2),IF('Run Data'!C1265=Summary!$P$28,VLOOKUP(Summary!M1272,Summary!$Q$28:$R$29,2),VLOOKUP(Summary!M1272,Summary!$Q$30:$R$32,2)))</f>
        <v>Sprig 2</v>
      </c>
      <c r="E1265" t="str">
        <f>VLOOKUP(Summary!M1275,Summary!$P$42:$Q$43,2)</f>
        <v>86</v>
      </c>
      <c r="F1265">
        <f>IF(LEFT(A1265,3)="B60",20,IF(LEFT(A1265,3)="B12",30,25))+B1265*0.5+INT(Summary!M1278*20)</f>
        <v>491</v>
      </c>
      <c r="G1265">
        <f>ROUND(IF(OR(ISERROR(FIND(Summary!$P$89,CONCATENATE(C1265,D1265,E1265))),ISERROR(FIND(Summary!$Q$89,A1265))),Summary!$R$45,IF(H1265&gt;Summary!$V$3,Summary!$R$46,Summary!$R$45))*(B1265+30),0)</f>
        <v>10</v>
      </c>
      <c r="H1265">
        <f>IF(H1264&gt;Summary!$V$4,0,H1264+F1264)</f>
        <v>89927</v>
      </c>
      <c r="I1265" s="26">
        <f>DATE(YEAR(Summary!$V$2),MONTH(Summary!$V$2),DAY(Summary!$V$2)+INT(H1265/480))</f>
        <v>43777</v>
      </c>
      <c r="J1265" s="27">
        <f t="shared" si="20"/>
        <v>0.44930555555555557</v>
      </c>
    </row>
    <row r="1266" spans="1:10">
      <c r="A1266" t="str">
        <f>VLOOKUP(Summary!M1265,Summary!$P$13:$Q$24,2)</f>
        <v>B600-lime</v>
      </c>
      <c r="B1266">
        <f>ROUND(NORMINV(Summary!M1267,VLOOKUP(A1266,Summary!$Q$13:$S$24,3,FALSE),VLOOKUP(A1266,Summary!$Q$13:$S$24,3,FALSE)/6),-1)</f>
        <v>250</v>
      </c>
      <c r="C1266" t="str">
        <f>IF(AND(H1266=0,C1265=Summary!$P$2),Summary!$Q$2,IF(AND(H1266=0,C1265=Summary!$Q$2),Summary!$R$2,C1265))</f>
        <v>Jared</v>
      </c>
      <c r="D1266" t="str">
        <f>IF(C1266=Summary!$P$26,VLOOKUP(Summary!M1273,Summary!$Q$26:$R$27,2),IF('Run Data'!C1266=Summary!$P$28,VLOOKUP(Summary!M1273,Summary!$Q$28:$R$29,2),VLOOKUP(Summary!M1273,Summary!$Q$30:$R$32,2)))</f>
        <v>Sprig 2</v>
      </c>
      <c r="E1266" t="str">
        <f>VLOOKUP(Summary!M1276,Summary!$P$42:$Q$43,2)</f>
        <v>86</v>
      </c>
      <c r="F1266">
        <f>IF(LEFT(A1266,3)="B60",20,IF(LEFT(A1266,3)="B12",30,25))+B1266*0.5+INT(Summary!M1279*20)</f>
        <v>164</v>
      </c>
      <c r="G1266">
        <f>ROUND(IF(OR(ISERROR(FIND(Summary!$P$89,CONCATENATE(C1266,D1266,E1266))),ISERROR(FIND(Summary!$Q$89,A1266))),Summary!$R$45,IF(H1266&gt;Summary!$V$3,Summary!$R$46,Summary!$R$45))*(B1266+30),0)</f>
        <v>3</v>
      </c>
      <c r="H1266">
        <f>IF(H1265&gt;Summary!$V$4,0,H1265+F1265)</f>
        <v>90418</v>
      </c>
      <c r="I1266" s="26">
        <f>DATE(YEAR(Summary!$V$2),MONTH(Summary!$V$2),DAY(Summary!$V$2)+INT(H1266/480))</f>
        <v>43778</v>
      </c>
      <c r="J1266" s="27">
        <f t="shared" si="20"/>
        <v>0.45694444444444443</v>
      </c>
    </row>
    <row r="1267" spans="1:10">
      <c r="A1267" t="str">
        <f>VLOOKUP(Summary!M1266,Summary!$P$13:$Q$24,2)</f>
        <v>B1700-sky</v>
      </c>
      <c r="B1267">
        <f>ROUND(NORMINV(Summary!M1268,VLOOKUP(A1267,Summary!$Q$13:$S$24,3,FALSE),VLOOKUP(A1267,Summary!$Q$13:$S$24,3,FALSE)/6),-1)</f>
        <v>520</v>
      </c>
      <c r="C1267" t="str">
        <f>IF(AND(H1267=0,C1266=Summary!$P$2),Summary!$Q$2,IF(AND(H1267=0,C1266=Summary!$Q$2),Summary!$R$2,C1266))</f>
        <v>Jared</v>
      </c>
      <c r="D1267" t="str">
        <f>IF(C1267=Summary!$P$26,VLOOKUP(Summary!M1274,Summary!$Q$26:$R$27,2),IF('Run Data'!C1267=Summary!$P$28,VLOOKUP(Summary!M1274,Summary!$Q$28:$R$29,2),VLOOKUP(Summary!M1274,Summary!$Q$30:$R$32,2)))</f>
        <v>Sprig 3</v>
      </c>
      <c r="E1267" t="str">
        <f>VLOOKUP(Summary!M1277,Summary!$P$42:$Q$43,2)</f>
        <v>86</v>
      </c>
      <c r="F1267">
        <f>IF(LEFT(A1267,3)="B60",20,IF(LEFT(A1267,3)="B12",30,25))+B1267*0.5+INT(Summary!M1280*20)</f>
        <v>297</v>
      </c>
      <c r="G1267">
        <f>ROUND(IF(OR(ISERROR(FIND(Summary!$P$89,CONCATENATE(C1267,D1267,E1267))),ISERROR(FIND(Summary!$Q$89,A1267))),Summary!$R$45,IF(H1267&gt;Summary!$V$3,Summary!$R$46,Summary!$R$45))*(B1267+30),0)</f>
        <v>66</v>
      </c>
      <c r="H1267">
        <f>IF(H1266&gt;Summary!$V$4,0,H1266+F1266)</f>
        <v>90582</v>
      </c>
      <c r="I1267" s="26">
        <f>DATE(YEAR(Summary!$V$2),MONTH(Summary!$V$2),DAY(Summary!$V$2)+INT(H1267/480))</f>
        <v>43778</v>
      </c>
      <c r="J1267" s="27">
        <f t="shared" si="20"/>
        <v>0.5708333333333333</v>
      </c>
    </row>
    <row r="1268" spans="1:10">
      <c r="A1268" t="str">
        <f>VLOOKUP(Summary!M1267,Summary!$P$13:$Q$24,2)</f>
        <v>B600-fire</v>
      </c>
      <c r="B1268">
        <f>ROUND(NORMINV(Summary!M1269,VLOOKUP(A1268,Summary!$Q$13:$S$24,3,FALSE),VLOOKUP(A1268,Summary!$Q$13:$S$24,3,FALSE)/6),-1)</f>
        <v>470</v>
      </c>
      <c r="C1268" t="str">
        <f>IF(AND(H1268=0,C1267=Summary!$P$2),Summary!$Q$2,IF(AND(H1268=0,C1267=Summary!$Q$2),Summary!$R$2,C1267))</f>
        <v>Jared</v>
      </c>
      <c r="D1268" t="str">
        <f>IF(C1268=Summary!$P$26,VLOOKUP(Summary!M1275,Summary!$Q$26:$R$27,2),IF('Run Data'!C1268=Summary!$P$28,VLOOKUP(Summary!M1275,Summary!$Q$28:$R$29,2),VLOOKUP(Summary!M1275,Summary!$Q$30:$R$32,2)))</f>
        <v>Sprig 2</v>
      </c>
      <c r="E1268" t="str">
        <f>VLOOKUP(Summary!M1278,Summary!$P$42:$Q$43,2)</f>
        <v>86</v>
      </c>
      <c r="F1268">
        <f>IF(LEFT(A1268,3)="B60",20,IF(LEFT(A1268,3)="B12",30,25))+B1268*0.5+INT(Summary!M1281*20)</f>
        <v>270</v>
      </c>
      <c r="G1268">
        <f>ROUND(IF(OR(ISERROR(FIND(Summary!$P$89,CONCATENATE(C1268,D1268,E1268))),ISERROR(FIND(Summary!$Q$89,A1268))),Summary!$R$45,IF(H1268&gt;Summary!$V$3,Summary!$R$46,Summary!$R$45))*(B1268+30),0)</f>
        <v>5</v>
      </c>
      <c r="H1268">
        <f>IF(H1267&gt;Summary!$V$4,0,H1267+F1267)</f>
        <v>90879</v>
      </c>
      <c r="I1268" s="26">
        <f>DATE(YEAR(Summary!$V$2),MONTH(Summary!$V$2),DAY(Summary!$V$2)+INT(H1268/480))</f>
        <v>43779</v>
      </c>
      <c r="J1268" s="27">
        <f t="shared" si="20"/>
        <v>0.44375000000000003</v>
      </c>
    </row>
    <row r="1269" spans="1:10">
      <c r="A1269" t="str">
        <f>VLOOKUP(Summary!M1268,Summary!$P$13:$Q$24,2)</f>
        <v>B1200-sky</v>
      </c>
      <c r="B1269">
        <f>ROUND(NORMINV(Summary!M1270,VLOOKUP(A1269,Summary!$Q$13:$S$24,3,FALSE),VLOOKUP(A1269,Summary!$Q$13:$S$24,3,FALSE)/6),-1)</f>
        <v>960</v>
      </c>
      <c r="C1269" t="str">
        <f>IF(AND(H1269=0,C1268=Summary!$P$2),Summary!$Q$2,IF(AND(H1269=0,C1268=Summary!$Q$2),Summary!$R$2,C1268))</f>
        <v>Jared</v>
      </c>
      <c r="D1269" t="str">
        <f>IF(C1269=Summary!$P$26,VLOOKUP(Summary!M1276,Summary!$Q$26:$R$27,2),IF('Run Data'!C1269=Summary!$P$28,VLOOKUP(Summary!M1276,Summary!$Q$28:$R$29,2),VLOOKUP(Summary!M1276,Summary!$Q$30:$R$32,2)))</f>
        <v>Sprig 2</v>
      </c>
      <c r="E1269" t="str">
        <f>VLOOKUP(Summary!M1279,Summary!$P$42:$Q$43,2)</f>
        <v>87b</v>
      </c>
      <c r="F1269">
        <f>IF(LEFT(A1269,3)="B60",20,IF(LEFT(A1269,3)="B12",30,25))+B1269*0.5+INT(Summary!M1282*20)</f>
        <v>519</v>
      </c>
      <c r="G1269">
        <f>ROUND(IF(OR(ISERROR(FIND(Summary!$P$89,CONCATENATE(C1269,D1269,E1269))),ISERROR(FIND(Summary!$Q$89,A1269))),Summary!$R$45,IF(H1269&gt;Summary!$V$3,Summary!$R$46,Summary!$R$45))*(B1269+30),0)</f>
        <v>10</v>
      </c>
      <c r="H1269">
        <f>IF(H1268&gt;Summary!$V$4,0,H1268+F1268)</f>
        <v>91149</v>
      </c>
      <c r="I1269" s="26">
        <f>DATE(YEAR(Summary!$V$2),MONTH(Summary!$V$2),DAY(Summary!$V$2)+INT(H1269/480))</f>
        <v>43779</v>
      </c>
      <c r="J1269" s="27">
        <f t="shared" si="20"/>
        <v>0.63124999999999998</v>
      </c>
    </row>
    <row r="1270" spans="1:10">
      <c r="A1270" t="str">
        <f>VLOOKUP(Summary!M1269,Summary!$P$13:$Q$24,2)</f>
        <v>B1700-fire</v>
      </c>
      <c r="B1270">
        <f>ROUND(NORMINV(Summary!M1271,VLOOKUP(A1270,Summary!$Q$13:$S$24,3,FALSE),VLOOKUP(A1270,Summary!$Q$13:$S$24,3,FALSE)/6),-1)</f>
        <v>650</v>
      </c>
      <c r="C1270" t="str">
        <f>IF(AND(H1270=0,C1269=Summary!$P$2),Summary!$Q$2,IF(AND(H1270=0,C1269=Summary!$Q$2),Summary!$R$2,C1269))</f>
        <v>Jared</v>
      </c>
      <c r="D1270" t="str">
        <f>IF(C1270=Summary!$P$26,VLOOKUP(Summary!M1277,Summary!$Q$26:$R$27,2),IF('Run Data'!C1270=Summary!$P$28,VLOOKUP(Summary!M1277,Summary!$Q$28:$R$29,2),VLOOKUP(Summary!M1277,Summary!$Q$30:$R$32,2)))</f>
        <v>Sprig 1</v>
      </c>
      <c r="E1270" t="str">
        <f>VLOOKUP(Summary!M1280,Summary!$P$42:$Q$43,2)</f>
        <v>86</v>
      </c>
      <c r="F1270">
        <f>IF(LEFT(A1270,3)="B60",20,IF(LEFT(A1270,3)="B12",30,25))+B1270*0.5+INT(Summary!M1283*20)</f>
        <v>357</v>
      </c>
      <c r="G1270">
        <f>ROUND(IF(OR(ISERROR(FIND(Summary!$P$89,CONCATENATE(C1270,D1270,E1270))),ISERROR(FIND(Summary!$Q$89,A1270))),Summary!$R$45,IF(H1270&gt;Summary!$V$3,Summary!$R$46,Summary!$R$45))*(B1270+30),0)</f>
        <v>82</v>
      </c>
      <c r="H1270">
        <f>IF(H1269&gt;Summary!$V$4,0,H1269+F1269)</f>
        <v>91668</v>
      </c>
      <c r="I1270" s="26">
        <f>DATE(YEAR(Summary!$V$2),MONTH(Summary!$V$2),DAY(Summary!$V$2)+INT(H1270/480))</f>
        <v>43780</v>
      </c>
      <c r="J1270" s="27">
        <f t="shared" si="20"/>
        <v>0.65833333333333333</v>
      </c>
    </row>
    <row r="1271" spans="1:10">
      <c r="A1271" t="str">
        <f>VLOOKUP(Summary!M1270,Summary!$P$13:$Q$24,2)</f>
        <v>B600-fire</v>
      </c>
      <c r="B1271">
        <f>ROUND(NORMINV(Summary!M1272,VLOOKUP(A1271,Summary!$Q$13:$S$24,3,FALSE),VLOOKUP(A1271,Summary!$Q$13:$S$24,3,FALSE)/6),-1)</f>
        <v>340</v>
      </c>
      <c r="C1271" t="str">
        <f>IF(AND(H1271=0,C1270=Summary!$P$2),Summary!$Q$2,IF(AND(H1271=0,C1270=Summary!$Q$2),Summary!$R$2,C1270))</f>
        <v>Jared</v>
      </c>
      <c r="D1271" t="str">
        <f>IF(C1271=Summary!$P$26,VLOOKUP(Summary!M1278,Summary!$Q$26:$R$27,2),IF('Run Data'!C1271=Summary!$P$28,VLOOKUP(Summary!M1278,Summary!$Q$28:$R$29,2),VLOOKUP(Summary!M1278,Summary!$Q$30:$R$32,2)))</f>
        <v>Sprig 1</v>
      </c>
      <c r="E1271" t="str">
        <f>VLOOKUP(Summary!M1281,Summary!$P$42:$Q$43,2)</f>
        <v>86</v>
      </c>
      <c r="F1271">
        <f>IF(LEFT(A1271,3)="B60",20,IF(LEFT(A1271,3)="B12",30,25))+B1271*0.5+INT(Summary!M1284*20)</f>
        <v>201</v>
      </c>
      <c r="G1271">
        <f>ROUND(IF(OR(ISERROR(FIND(Summary!$P$89,CONCATENATE(C1271,D1271,E1271))),ISERROR(FIND(Summary!$Q$89,A1271))),Summary!$R$45,IF(H1271&gt;Summary!$V$3,Summary!$R$46,Summary!$R$45))*(B1271+30),0)</f>
        <v>4</v>
      </c>
      <c r="H1271">
        <f>IF(H1270&gt;Summary!$V$4,0,H1270+F1270)</f>
        <v>92025</v>
      </c>
      <c r="I1271" s="26">
        <f>DATE(YEAR(Summary!$V$2),MONTH(Summary!$V$2),DAY(Summary!$V$2)+INT(H1271/480))</f>
        <v>43781</v>
      </c>
      <c r="J1271" s="27">
        <f t="shared" si="20"/>
        <v>0.57291666666666663</v>
      </c>
    </row>
    <row r="1272" spans="1:10">
      <c r="A1272" t="str">
        <f>VLOOKUP(Summary!M1271,Summary!$P$13:$Q$24,2)</f>
        <v>B600-lime</v>
      </c>
      <c r="B1272">
        <f>ROUND(NORMINV(Summary!M1273,VLOOKUP(A1272,Summary!$Q$13:$S$24,3,FALSE),VLOOKUP(A1272,Summary!$Q$13:$S$24,3,FALSE)/6),-1)</f>
        <v>310</v>
      </c>
      <c r="C1272" t="str">
        <f>IF(AND(H1272=0,C1271=Summary!$P$2),Summary!$Q$2,IF(AND(H1272=0,C1271=Summary!$Q$2),Summary!$R$2,C1271))</f>
        <v>Jared</v>
      </c>
      <c r="D1272" t="str">
        <f>IF(C1272=Summary!$P$26,VLOOKUP(Summary!M1279,Summary!$Q$26:$R$27,2),IF('Run Data'!C1272=Summary!$P$28,VLOOKUP(Summary!M1279,Summary!$Q$28:$R$29,2),VLOOKUP(Summary!M1279,Summary!$Q$30:$R$32,2)))</f>
        <v>Sprig 3</v>
      </c>
      <c r="E1272" t="str">
        <f>VLOOKUP(Summary!M1282,Summary!$P$42:$Q$43,2)</f>
        <v>86</v>
      </c>
      <c r="F1272">
        <f>IF(LEFT(A1272,3)="B60",20,IF(LEFT(A1272,3)="B12",30,25))+B1272*0.5+INT(Summary!M1285*20)</f>
        <v>178</v>
      </c>
      <c r="G1272">
        <f>ROUND(IF(OR(ISERROR(FIND(Summary!$P$89,CONCATENATE(C1272,D1272,E1272))),ISERROR(FIND(Summary!$Q$89,A1272))),Summary!$R$45,IF(H1272&gt;Summary!$V$3,Summary!$R$46,Summary!$R$45))*(B1272+30),0)</f>
        <v>3</v>
      </c>
      <c r="H1272">
        <f>IF(H1271&gt;Summary!$V$4,0,H1271+F1271)</f>
        <v>92226</v>
      </c>
      <c r="I1272" s="26">
        <f>DATE(YEAR(Summary!$V$2),MONTH(Summary!$V$2),DAY(Summary!$V$2)+INT(H1272/480))</f>
        <v>43782</v>
      </c>
      <c r="J1272" s="27">
        <f t="shared" si="20"/>
        <v>0.37916666666666665</v>
      </c>
    </row>
    <row r="1273" spans="1:10">
      <c r="A1273" t="str">
        <f>VLOOKUP(Summary!M1272,Summary!$P$13:$Q$24,2)</f>
        <v>B600-lime</v>
      </c>
      <c r="B1273">
        <f>ROUND(NORMINV(Summary!M1274,VLOOKUP(A1273,Summary!$Q$13:$S$24,3,FALSE),VLOOKUP(A1273,Summary!$Q$13:$S$24,3,FALSE)/6),-1)</f>
        <v>370</v>
      </c>
      <c r="C1273" t="str">
        <f>IF(AND(H1273=0,C1272=Summary!$P$2),Summary!$Q$2,IF(AND(H1273=0,C1272=Summary!$Q$2),Summary!$R$2,C1272))</f>
        <v>Jared</v>
      </c>
      <c r="D1273" t="str">
        <f>IF(C1273=Summary!$P$26,VLOOKUP(Summary!M1280,Summary!$Q$26:$R$27,2),IF('Run Data'!C1273=Summary!$P$28,VLOOKUP(Summary!M1280,Summary!$Q$28:$R$29,2),VLOOKUP(Summary!M1280,Summary!$Q$30:$R$32,2)))</f>
        <v>Sprig 3</v>
      </c>
      <c r="E1273" t="str">
        <f>VLOOKUP(Summary!M1283,Summary!$P$42:$Q$43,2)</f>
        <v>86</v>
      </c>
      <c r="F1273">
        <f>IF(LEFT(A1273,3)="B60",20,IF(LEFT(A1273,3)="B12",30,25))+B1273*0.5+INT(Summary!M1286*20)</f>
        <v>222</v>
      </c>
      <c r="G1273">
        <f>ROUND(IF(OR(ISERROR(FIND(Summary!$P$89,CONCATENATE(C1273,D1273,E1273))),ISERROR(FIND(Summary!$Q$89,A1273))),Summary!$R$45,IF(H1273&gt;Summary!$V$3,Summary!$R$46,Summary!$R$45))*(B1273+30),0)</f>
        <v>4</v>
      </c>
      <c r="H1273">
        <f>IF(H1272&gt;Summary!$V$4,0,H1272+F1272)</f>
        <v>92404</v>
      </c>
      <c r="I1273" s="26">
        <f>DATE(YEAR(Summary!$V$2),MONTH(Summary!$V$2),DAY(Summary!$V$2)+INT(H1273/480))</f>
        <v>43782</v>
      </c>
      <c r="J1273" s="27">
        <f t="shared" si="20"/>
        <v>0.50277777777777777</v>
      </c>
    </row>
    <row r="1274" spans="1:10">
      <c r="A1274" t="str">
        <f>VLOOKUP(Summary!M1273,Summary!$P$13:$Q$24,2)</f>
        <v>B1200-lime</v>
      </c>
      <c r="B1274">
        <f>ROUND(NORMINV(Summary!M1275,VLOOKUP(A1274,Summary!$Q$13:$S$24,3,FALSE),VLOOKUP(A1274,Summary!$Q$13:$S$24,3,FALSE)/6),-1)</f>
        <v>810</v>
      </c>
      <c r="C1274" t="str">
        <f>IF(AND(H1274=0,C1273=Summary!$P$2),Summary!$Q$2,IF(AND(H1274=0,C1273=Summary!$Q$2),Summary!$R$2,C1273))</f>
        <v>Jared</v>
      </c>
      <c r="D1274" t="str">
        <f>IF(C1274=Summary!$P$26,VLOOKUP(Summary!M1281,Summary!$Q$26:$R$27,2),IF('Run Data'!C1274=Summary!$P$28,VLOOKUP(Summary!M1281,Summary!$Q$28:$R$29,2),VLOOKUP(Summary!M1281,Summary!$Q$30:$R$32,2)))</f>
        <v>Sprig 3</v>
      </c>
      <c r="E1274" t="str">
        <f>VLOOKUP(Summary!M1284,Summary!$P$42:$Q$43,2)</f>
        <v>86</v>
      </c>
      <c r="F1274">
        <f>IF(LEFT(A1274,3)="B60",20,IF(LEFT(A1274,3)="B12",30,25))+B1274*0.5+INT(Summary!M1287*20)</f>
        <v>441</v>
      </c>
      <c r="G1274">
        <f>ROUND(IF(OR(ISERROR(FIND(Summary!$P$89,CONCATENATE(C1274,D1274,E1274))),ISERROR(FIND(Summary!$Q$89,A1274))),Summary!$R$45,IF(H1274&gt;Summary!$V$3,Summary!$R$46,Summary!$R$45))*(B1274+30),0)</f>
        <v>8</v>
      </c>
      <c r="H1274">
        <f>IF(H1273&gt;Summary!$V$4,0,H1273+F1273)</f>
        <v>92626</v>
      </c>
      <c r="I1274" s="26">
        <f>DATE(YEAR(Summary!$V$2),MONTH(Summary!$V$2),DAY(Summary!$V$2)+INT(H1274/480))</f>
        <v>43782</v>
      </c>
      <c r="J1274" s="27">
        <f t="shared" si="20"/>
        <v>0.65694444444444444</v>
      </c>
    </row>
    <row r="1275" spans="1:10">
      <c r="A1275" t="str">
        <f>VLOOKUP(Summary!M1274,Summary!$P$13:$Q$24,2)</f>
        <v>B1700-lime</v>
      </c>
      <c r="B1275">
        <f>ROUND(NORMINV(Summary!M1276,VLOOKUP(A1275,Summary!$Q$13:$S$24,3,FALSE),VLOOKUP(A1275,Summary!$Q$13:$S$24,3,FALSE)/6),-1)</f>
        <v>350</v>
      </c>
      <c r="C1275" t="str">
        <f>IF(AND(H1275=0,C1274=Summary!$P$2),Summary!$Q$2,IF(AND(H1275=0,C1274=Summary!$Q$2),Summary!$R$2,C1274))</f>
        <v>Jared</v>
      </c>
      <c r="D1275" t="str">
        <f>IF(C1275=Summary!$P$26,VLOOKUP(Summary!M1282,Summary!$Q$26:$R$27,2),IF('Run Data'!C1275=Summary!$P$28,VLOOKUP(Summary!M1282,Summary!$Q$28:$R$29,2),VLOOKUP(Summary!M1282,Summary!$Q$30:$R$32,2)))</f>
        <v>Sprig 2</v>
      </c>
      <c r="E1275" t="str">
        <f>VLOOKUP(Summary!M1285,Summary!$P$42:$Q$43,2)</f>
        <v>86</v>
      </c>
      <c r="F1275">
        <f>IF(LEFT(A1275,3)="B60",20,IF(LEFT(A1275,3)="B12",30,25))+B1275*0.5+INT(Summary!M1288*20)</f>
        <v>210</v>
      </c>
      <c r="G1275">
        <f>ROUND(IF(OR(ISERROR(FIND(Summary!$P$89,CONCATENATE(C1275,D1275,E1275))),ISERROR(FIND(Summary!$Q$89,A1275))),Summary!$R$45,IF(H1275&gt;Summary!$V$3,Summary!$R$46,Summary!$R$45))*(B1275+30),0)</f>
        <v>46</v>
      </c>
      <c r="H1275">
        <f>IF(H1274&gt;Summary!$V$4,0,H1274+F1274)</f>
        <v>93067</v>
      </c>
      <c r="I1275" s="26">
        <f>DATE(YEAR(Summary!$V$2),MONTH(Summary!$V$2),DAY(Summary!$V$2)+INT(H1275/480))</f>
        <v>43783</v>
      </c>
      <c r="J1275" s="27">
        <f t="shared" si="20"/>
        <v>0.62986111111111109</v>
      </c>
    </row>
    <row r="1276" spans="1:10">
      <c r="A1276" t="str">
        <f>VLOOKUP(Summary!M1275,Summary!$P$13:$Q$24,2)</f>
        <v>B1200-fire</v>
      </c>
      <c r="B1276">
        <f>ROUND(NORMINV(Summary!M1277,VLOOKUP(A1276,Summary!$Q$13:$S$24,3,FALSE),VLOOKUP(A1276,Summary!$Q$13:$S$24,3,FALSE)/6),-1)</f>
        <v>1010</v>
      </c>
      <c r="C1276" t="str">
        <f>IF(AND(H1276=0,C1275=Summary!$P$2),Summary!$Q$2,IF(AND(H1276=0,C1275=Summary!$Q$2),Summary!$R$2,C1275))</f>
        <v>Jared</v>
      </c>
      <c r="D1276" t="str">
        <f>IF(C1276=Summary!$P$26,VLOOKUP(Summary!M1283,Summary!$Q$26:$R$27,2),IF('Run Data'!C1276=Summary!$P$28,VLOOKUP(Summary!M1283,Summary!$Q$28:$R$29,2),VLOOKUP(Summary!M1283,Summary!$Q$30:$R$32,2)))</f>
        <v>Sprig 2</v>
      </c>
      <c r="E1276" t="str">
        <f>VLOOKUP(Summary!M1286,Summary!$P$42:$Q$43,2)</f>
        <v>87b</v>
      </c>
      <c r="F1276">
        <f>IF(LEFT(A1276,3)="B60",20,IF(LEFT(A1276,3)="B12",30,25))+B1276*0.5+INT(Summary!M1289*20)</f>
        <v>548</v>
      </c>
      <c r="G1276">
        <f>ROUND(IF(OR(ISERROR(FIND(Summary!$P$89,CONCATENATE(C1276,D1276,E1276))),ISERROR(FIND(Summary!$Q$89,A1276))),Summary!$R$45,IF(H1276&gt;Summary!$V$3,Summary!$R$46,Summary!$R$45))*(B1276+30),0)</f>
        <v>10</v>
      </c>
      <c r="H1276">
        <f>IF(H1275&gt;Summary!$V$4,0,H1275+F1275)</f>
        <v>93277</v>
      </c>
      <c r="I1276" s="26">
        <f>DATE(YEAR(Summary!$V$2),MONTH(Summary!$V$2),DAY(Summary!$V$2)+INT(H1276/480))</f>
        <v>43784</v>
      </c>
      <c r="J1276" s="27">
        <f t="shared" si="20"/>
        <v>0.44236111111111115</v>
      </c>
    </row>
    <row r="1277" spans="1:10">
      <c r="A1277" t="str">
        <f>VLOOKUP(Summary!M1276,Summary!$P$13:$Q$24,2)</f>
        <v>B1200-plum</v>
      </c>
      <c r="B1277">
        <f>ROUND(NORMINV(Summary!M1278,VLOOKUP(A1277,Summary!$Q$13:$S$24,3,FALSE),VLOOKUP(A1277,Summary!$Q$13:$S$24,3,FALSE)/6),-1)</f>
        <v>350</v>
      </c>
      <c r="C1277" t="str">
        <f>IF(AND(H1277=0,C1276=Summary!$P$2),Summary!$Q$2,IF(AND(H1277=0,C1276=Summary!$Q$2),Summary!$R$2,C1276))</f>
        <v>Jared</v>
      </c>
      <c r="D1277" t="str">
        <f>IF(C1277=Summary!$P$26,VLOOKUP(Summary!M1284,Summary!$Q$26:$R$27,2),IF('Run Data'!C1277=Summary!$P$28,VLOOKUP(Summary!M1284,Summary!$Q$28:$R$29,2),VLOOKUP(Summary!M1284,Summary!$Q$30:$R$32,2)))</f>
        <v>Sprig 2</v>
      </c>
      <c r="E1277" t="str">
        <f>VLOOKUP(Summary!M1287,Summary!$P$42:$Q$43,2)</f>
        <v>86</v>
      </c>
      <c r="F1277">
        <f>IF(LEFT(A1277,3)="B60",20,IF(LEFT(A1277,3)="B12",30,25))+B1277*0.5+INT(Summary!M1290*20)</f>
        <v>215</v>
      </c>
      <c r="G1277">
        <f>ROUND(IF(OR(ISERROR(FIND(Summary!$P$89,CONCATENATE(C1277,D1277,E1277))),ISERROR(FIND(Summary!$Q$89,A1277))),Summary!$R$45,IF(H1277&gt;Summary!$V$3,Summary!$R$46,Summary!$R$45))*(B1277+30),0)</f>
        <v>4</v>
      </c>
      <c r="H1277">
        <f>IF(H1276&gt;Summary!$V$4,0,H1276+F1276)</f>
        <v>93825</v>
      </c>
      <c r="I1277" s="26">
        <f>DATE(YEAR(Summary!$V$2),MONTH(Summary!$V$2),DAY(Summary!$V$2)+INT(H1277/480))</f>
        <v>43785</v>
      </c>
      <c r="J1277" s="27">
        <f t="shared" si="20"/>
        <v>0.48958333333333331</v>
      </c>
    </row>
    <row r="1278" spans="1:10">
      <c r="A1278" t="str">
        <f>VLOOKUP(Summary!M1277,Summary!$P$13:$Q$24,2)</f>
        <v>B600-fire</v>
      </c>
      <c r="B1278">
        <f>ROUND(NORMINV(Summary!M1279,VLOOKUP(A1278,Summary!$Q$13:$S$24,3,FALSE),VLOOKUP(A1278,Summary!$Q$13:$S$24,3,FALSE)/6),-1)</f>
        <v>580</v>
      </c>
      <c r="C1278" t="str">
        <f>IF(AND(H1278=0,C1277=Summary!$P$2),Summary!$Q$2,IF(AND(H1278=0,C1277=Summary!$Q$2),Summary!$R$2,C1277))</f>
        <v>Jared</v>
      </c>
      <c r="D1278" t="str">
        <f>IF(C1278=Summary!$P$26,VLOOKUP(Summary!M1285,Summary!$Q$26:$R$27,2),IF('Run Data'!C1278=Summary!$P$28,VLOOKUP(Summary!M1285,Summary!$Q$28:$R$29,2),VLOOKUP(Summary!M1285,Summary!$Q$30:$R$32,2)))</f>
        <v>Sprig 1</v>
      </c>
      <c r="E1278" t="str">
        <f>VLOOKUP(Summary!M1288,Summary!$P$42:$Q$43,2)</f>
        <v>86</v>
      </c>
      <c r="F1278">
        <f>IF(LEFT(A1278,3)="B60",20,IF(LEFT(A1278,3)="B12",30,25))+B1278*0.5+INT(Summary!M1291*20)</f>
        <v>329</v>
      </c>
      <c r="G1278">
        <f>ROUND(IF(OR(ISERROR(FIND(Summary!$P$89,CONCATENATE(C1278,D1278,E1278))),ISERROR(FIND(Summary!$Q$89,A1278))),Summary!$R$45,IF(H1278&gt;Summary!$V$3,Summary!$R$46,Summary!$R$45))*(B1278+30),0)</f>
        <v>6</v>
      </c>
      <c r="H1278">
        <f>IF(H1277&gt;Summary!$V$4,0,H1277+F1277)</f>
        <v>94040</v>
      </c>
      <c r="I1278" s="26">
        <f>DATE(YEAR(Summary!$V$2),MONTH(Summary!$V$2),DAY(Summary!$V$2)+INT(H1278/480))</f>
        <v>43785</v>
      </c>
      <c r="J1278" s="27">
        <f t="shared" si="20"/>
        <v>0.63888888888888895</v>
      </c>
    </row>
    <row r="1279" spans="1:10">
      <c r="A1279" t="str">
        <f>VLOOKUP(Summary!M1278,Summary!$P$13:$Q$24,2)</f>
        <v>B600-sky</v>
      </c>
      <c r="B1279">
        <f>ROUND(NORMINV(Summary!M1280,VLOOKUP(A1279,Summary!$Q$13:$S$24,3,FALSE),VLOOKUP(A1279,Summary!$Q$13:$S$24,3,FALSE)/6),-1)</f>
        <v>530</v>
      </c>
      <c r="C1279" t="str">
        <f>IF(AND(H1279=0,C1278=Summary!$P$2),Summary!$Q$2,IF(AND(H1279=0,C1278=Summary!$Q$2),Summary!$R$2,C1278))</f>
        <v>Jared</v>
      </c>
      <c r="D1279" t="str">
        <f>IF(C1279=Summary!$P$26,VLOOKUP(Summary!M1286,Summary!$Q$26:$R$27,2),IF('Run Data'!C1279=Summary!$P$28,VLOOKUP(Summary!M1286,Summary!$Q$28:$R$29,2),VLOOKUP(Summary!M1286,Summary!$Q$30:$R$32,2)))</f>
        <v>Sprig 3</v>
      </c>
      <c r="E1279" t="str">
        <f>VLOOKUP(Summary!M1289,Summary!$P$42:$Q$43,2)</f>
        <v>86</v>
      </c>
      <c r="F1279">
        <f>IF(LEFT(A1279,3)="B60",20,IF(LEFT(A1279,3)="B12",30,25))+B1279*0.5+INT(Summary!M1292*20)</f>
        <v>291</v>
      </c>
      <c r="G1279">
        <f>ROUND(IF(OR(ISERROR(FIND(Summary!$P$89,CONCATENATE(C1279,D1279,E1279))),ISERROR(FIND(Summary!$Q$89,A1279))),Summary!$R$45,IF(H1279&gt;Summary!$V$3,Summary!$R$46,Summary!$R$45))*(B1279+30),0)</f>
        <v>6</v>
      </c>
      <c r="H1279">
        <f>IF(H1278&gt;Summary!$V$4,0,H1278+F1278)</f>
        <v>94369</v>
      </c>
      <c r="I1279" s="26">
        <f>DATE(YEAR(Summary!$V$2),MONTH(Summary!$V$2),DAY(Summary!$V$2)+INT(H1279/480))</f>
        <v>43786</v>
      </c>
      <c r="J1279" s="27">
        <f t="shared" si="20"/>
        <v>0.53402777777777777</v>
      </c>
    </row>
    <row r="1280" spans="1:10">
      <c r="A1280" t="str">
        <f>VLOOKUP(Summary!M1279,Summary!$P$13:$Q$24,2)</f>
        <v>B1700-lime</v>
      </c>
      <c r="B1280">
        <f>ROUND(NORMINV(Summary!M1281,VLOOKUP(A1280,Summary!$Q$13:$S$24,3,FALSE),VLOOKUP(A1280,Summary!$Q$13:$S$24,3,FALSE)/6),-1)</f>
        <v>450</v>
      </c>
      <c r="C1280" t="str">
        <f>IF(AND(H1280=0,C1279=Summary!$P$2),Summary!$Q$2,IF(AND(H1280=0,C1279=Summary!$Q$2),Summary!$R$2,C1279))</f>
        <v>Jared</v>
      </c>
      <c r="D1280" t="str">
        <f>IF(C1280=Summary!$P$26,VLOOKUP(Summary!M1287,Summary!$Q$26:$R$27,2),IF('Run Data'!C1280=Summary!$P$28,VLOOKUP(Summary!M1287,Summary!$Q$28:$R$29,2),VLOOKUP(Summary!M1287,Summary!$Q$30:$R$32,2)))</f>
        <v>Sprig 2</v>
      </c>
      <c r="E1280" t="str">
        <f>VLOOKUP(Summary!M1290,Summary!$P$42:$Q$43,2)</f>
        <v>86</v>
      </c>
      <c r="F1280">
        <f>IF(LEFT(A1280,3)="B60",20,IF(LEFT(A1280,3)="B12",30,25))+B1280*0.5+INT(Summary!M1293*20)</f>
        <v>267</v>
      </c>
      <c r="G1280">
        <f>ROUND(IF(OR(ISERROR(FIND(Summary!$P$89,CONCATENATE(C1280,D1280,E1280))),ISERROR(FIND(Summary!$Q$89,A1280))),Summary!$R$45,IF(H1280&gt;Summary!$V$3,Summary!$R$46,Summary!$R$45))*(B1280+30),0)</f>
        <v>58</v>
      </c>
      <c r="H1280">
        <f>IF(H1279&gt;Summary!$V$4,0,H1279+F1279)</f>
        <v>94660</v>
      </c>
      <c r="I1280" s="26">
        <f>DATE(YEAR(Summary!$V$2),MONTH(Summary!$V$2),DAY(Summary!$V$2)+INT(H1280/480))</f>
        <v>43787</v>
      </c>
      <c r="J1280" s="27">
        <f t="shared" si="20"/>
        <v>0.40277777777777773</v>
      </c>
    </row>
    <row r="1281" spans="1:10">
      <c r="A1281" t="str">
        <f>VLOOKUP(Summary!M1280,Summary!$P$13:$Q$24,2)</f>
        <v>B1200-lime</v>
      </c>
      <c r="B1281">
        <f>ROUND(NORMINV(Summary!M1282,VLOOKUP(A1281,Summary!$Q$13:$S$24,3,FALSE),VLOOKUP(A1281,Summary!$Q$13:$S$24,3,FALSE)/6),-1)</f>
        <v>800</v>
      </c>
      <c r="C1281" t="str">
        <f>IF(AND(H1281=0,C1280=Summary!$P$2),Summary!$Q$2,IF(AND(H1281=0,C1280=Summary!$Q$2),Summary!$R$2,C1280))</f>
        <v>Jared</v>
      </c>
      <c r="D1281" t="str">
        <f>IF(C1281=Summary!$P$26,VLOOKUP(Summary!M1288,Summary!$Q$26:$R$27,2),IF('Run Data'!C1281=Summary!$P$28,VLOOKUP(Summary!M1288,Summary!$Q$28:$R$29,2),VLOOKUP(Summary!M1288,Summary!$Q$30:$R$32,2)))</f>
        <v>Sprig 2</v>
      </c>
      <c r="E1281" t="str">
        <f>VLOOKUP(Summary!M1291,Summary!$P$42:$Q$43,2)</f>
        <v>87b</v>
      </c>
      <c r="F1281">
        <f>IF(LEFT(A1281,3)="B60",20,IF(LEFT(A1281,3)="B12",30,25))+B1281*0.5+INT(Summary!M1294*20)</f>
        <v>446</v>
      </c>
      <c r="G1281">
        <f>ROUND(IF(OR(ISERROR(FIND(Summary!$P$89,CONCATENATE(C1281,D1281,E1281))),ISERROR(FIND(Summary!$Q$89,A1281))),Summary!$R$45,IF(H1281&gt;Summary!$V$3,Summary!$R$46,Summary!$R$45))*(B1281+30),0)</f>
        <v>8</v>
      </c>
      <c r="H1281">
        <f>IF(H1280&gt;Summary!$V$4,0,H1280+F1280)</f>
        <v>94927</v>
      </c>
      <c r="I1281" s="26">
        <f>DATE(YEAR(Summary!$V$2),MONTH(Summary!$V$2),DAY(Summary!$V$2)+INT(H1281/480))</f>
        <v>43787</v>
      </c>
      <c r="J1281" s="27">
        <f t="shared" si="20"/>
        <v>0.58819444444444446</v>
      </c>
    </row>
    <row r="1282" spans="1:10">
      <c r="A1282" t="str">
        <f>VLOOKUP(Summary!M1281,Summary!$P$13:$Q$24,2)</f>
        <v>B1700-sky</v>
      </c>
      <c r="B1282">
        <f>ROUND(NORMINV(Summary!M1283,VLOOKUP(A1282,Summary!$Q$13:$S$24,3,FALSE),VLOOKUP(A1282,Summary!$Q$13:$S$24,3,FALSE)/6),-1)</f>
        <v>520</v>
      </c>
      <c r="C1282" t="str">
        <f>IF(AND(H1282=0,C1281=Summary!$P$2),Summary!$Q$2,IF(AND(H1282=0,C1281=Summary!$Q$2),Summary!$R$2,C1281))</f>
        <v>Jared</v>
      </c>
      <c r="D1282" t="str">
        <f>IF(C1282=Summary!$P$26,VLOOKUP(Summary!M1289,Summary!$Q$26:$R$27,2),IF('Run Data'!C1282=Summary!$P$28,VLOOKUP(Summary!M1289,Summary!$Q$28:$R$29,2),VLOOKUP(Summary!M1289,Summary!$Q$30:$R$32,2)))</f>
        <v>Sprig 3</v>
      </c>
      <c r="E1282" t="str">
        <f>VLOOKUP(Summary!M1292,Summary!$P$42:$Q$43,2)</f>
        <v>86</v>
      </c>
      <c r="F1282">
        <f>IF(LEFT(A1282,3)="B60",20,IF(LEFT(A1282,3)="B12",30,25))+B1282*0.5+INT(Summary!M1295*20)</f>
        <v>285</v>
      </c>
      <c r="G1282">
        <f>ROUND(IF(OR(ISERROR(FIND(Summary!$P$89,CONCATENATE(C1282,D1282,E1282))),ISERROR(FIND(Summary!$Q$89,A1282))),Summary!$R$45,IF(H1282&gt;Summary!$V$3,Summary!$R$46,Summary!$R$45))*(B1282+30),0)</f>
        <v>66</v>
      </c>
      <c r="H1282">
        <f>IF(H1281&gt;Summary!$V$4,0,H1281+F1281)</f>
        <v>95373</v>
      </c>
      <c r="I1282" s="26">
        <f>DATE(YEAR(Summary!$V$2),MONTH(Summary!$V$2),DAY(Summary!$V$2)+INT(H1282/480))</f>
        <v>43788</v>
      </c>
      <c r="J1282" s="27">
        <f t="shared" si="20"/>
        <v>0.56458333333333333</v>
      </c>
    </row>
    <row r="1283" spans="1:10">
      <c r="A1283" t="str">
        <f>VLOOKUP(Summary!M1282,Summary!$P$13:$Q$24,2)</f>
        <v>B1200-fire</v>
      </c>
      <c r="B1283">
        <f>ROUND(NORMINV(Summary!M1284,VLOOKUP(A1283,Summary!$Q$13:$S$24,3,FALSE),VLOOKUP(A1283,Summary!$Q$13:$S$24,3,FALSE)/6),-1)</f>
        <v>1240</v>
      </c>
      <c r="C1283" t="str">
        <f>IF(AND(H1283=0,C1282=Summary!$P$2),Summary!$Q$2,IF(AND(H1283=0,C1282=Summary!$Q$2),Summary!$R$2,C1282))</f>
        <v>Jared</v>
      </c>
      <c r="D1283" t="str">
        <f>IF(C1283=Summary!$P$26,VLOOKUP(Summary!M1290,Summary!$Q$26:$R$27,2),IF('Run Data'!C1283=Summary!$P$28,VLOOKUP(Summary!M1290,Summary!$Q$28:$R$29,2),VLOOKUP(Summary!M1290,Summary!$Q$30:$R$32,2)))</f>
        <v>Sprig 2</v>
      </c>
      <c r="E1283" t="str">
        <f>VLOOKUP(Summary!M1293,Summary!$P$42:$Q$43,2)</f>
        <v>87b</v>
      </c>
      <c r="F1283">
        <f>IF(LEFT(A1283,3)="B60",20,IF(LEFT(A1283,3)="B12",30,25))+B1283*0.5+INT(Summary!M1296*20)</f>
        <v>663</v>
      </c>
      <c r="G1283">
        <f>ROUND(IF(OR(ISERROR(FIND(Summary!$P$89,CONCATENATE(C1283,D1283,E1283))),ISERROR(FIND(Summary!$Q$89,A1283))),Summary!$R$45,IF(H1283&gt;Summary!$V$3,Summary!$R$46,Summary!$R$45))*(B1283+30),0)</f>
        <v>13</v>
      </c>
      <c r="H1283">
        <f>IF(H1282&gt;Summary!$V$4,0,H1282+F1282)</f>
        <v>95658</v>
      </c>
      <c r="I1283" s="26">
        <f>DATE(YEAR(Summary!$V$2),MONTH(Summary!$V$2),DAY(Summary!$V$2)+INT(H1283/480))</f>
        <v>43789</v>
      </c>
      <c r="J1283" s="27">
        <f t="shared" si="20"/>
        <v>0.4291666666666667</v>
      </c>
    </row>
    <row r="1284" spans="1:10">
      <c r="A1284" t="str">
        <f>VLOOKUP(Summary!M1283,Summary!$P$13:$Q$24,2)</f>
        <v>B1200-sky</v>
      </c>
      <c r="B1284">
        <f>ROUND(NORMINV(Summary!M1285,VLOOKUP(A1284,Summary!$Q$13:$S$24,3,FALSE),VLOOKUP(A1284,Summary!$Q$13:$S$24,3,FALSE)/6),-1)</f>
        <v>1010</v>
      </c>
      <c r="C1284" t="str">
        <f>IF(AND(H1284=0,C1283=Summary!$P$2),Summary!$Q$2,IF(AND(H1284=0,C1283=Summary!$Q$2),Summary!$R$2,C1283))</f>
        <v>Jared</v>
      </c>
      <c r="D1284" t="str">
        <f>IF(C1284=Summary!$P$26,VLOOKUP(Summary!M1291,Summary!$Q$26:$R$27,2),IF('Run Data'!C1284=Summary!$P$28,VLOOKUP(Summary!M1291,Summary!$Q$28:$R$29,2),VLOOKUP(Summary!M1291,Summary!$Q$30:$R$32,2)))</f>
        <v>Sprig 3</v>
      </c>
      <c r="E1284" t="str">
        <f>VLOOKUP(Summary!M1294,Summary!$P$42:$Q$43,2)</f>
        <v>86</v>
      </c>
      <c r="F1284">
        <f>IF(LEFT(A1284,3)="B60",20,IF(LEFT(A1284,3)="B12",30,25))+B1284*0.5+INT(Summary!M1297*20)</f>
        <v>549</v>
      </c>
      <c r="G1284">
        <f>ROUND(IF(OR(ISERROR(FIND(Summary!$P$89,CONCATENATE(C1284,D1284,E1284))),ISERROR(FIND(Summary!$Q$89,A1284))),Summary!$R$45,IF(H1284&gt;Summary!$V$3,Summary!$R$46,Summary!$R$45))*(B1284+30),0)</f>
        <v>10</v>
      </c>
      <c r="H1284">
        <f>IF(H1283&gt;Summary!$V$4,0,H1283+F1283)</f>
        <v>96321</v>
      </c>
      <c r="I1284" s="26">
        <f>DATE(YEAR(Summary!$V$2),MONTH(Summary!$V$2),DAY(Summary!$V$2)+INT(H1284/480))</f>
        <v>43790</v>
      </c>
      <c r="J1284" s="27">
        <f t="shared" si="20"/>
        <v>0.55625000000000002</v>
      </c>
    </row>
    <row r="1285" spans="1:10">
      <c r="A1285" t="str">
        <f>VLOOKUP(Summary!M1284,Summary!$P$13:$Q$24,2)</f>
        <v>B1200-lime</v>
      </c>
      <c r="B1285">
        <f>ROUND(NORMINV(Summary!M1286,VLOOKUP(A1285,Summary!$Q$13:$S$24,3,FALSE),VLOOKUP(A1285,Summary!$Q$13:$S$24,3,FALSE)/6),-1)</f>
        <v>940</v>
      </c>
      <c r="C1285" t="str">
        <f>IF(AND(H1285=0,C1284=Summary!$P$2),Summary!$Q$2,IF(AND(H1285=0,C1284=Summary!$Q$2),Summary!$R$2,C1284))</f>
        <v>Jared</v>
      </c>
      <c r="D1285" t="str">
        <f>IF(C1285=Summary!$P$26,VLOOKUP(Summary!M1292,Summary!$Q$26:$R$27,2),IF('Run Data'!C1285=Summary!$P$28,VLOOKUP(Summary!M1292,Summary!$Q$28:$R$29,2),VLOOKUP(Summary!M1292,Summary!$Q$30:$R$32,2)))</f>
        <v>Sprig 2</v>
      </c>
      <c r="E1285" t="str">
        <f>VLOOKUP(Summary!M1295,Summary!$P$42:$Q$43,2)</f>
        <v>86</v>
      </c>
      <c r="F1285">
        <f>IF(LEFT(A1285,3)="B60",20,IF(LEFT(A1285,3)="B12",30,25))+B1285*0.5+INT(Summary!M1298*20)</f>
        <v>509</v>
      </c>
      <c r="G1285">
        <f>ROUND(IF(OR(ISERROR(FIND(Summary!$P$89,CONCATENATE(C1285,D1285,E1285))),ISERROR(FIND(Summary!$Q$89,A1285))),Summary!$R$45,IF(H1285&gt;Summary!$V$3,Summary!$R$46,Summary!$R$45))*(B1285+30),0)</f>
        <v>10</v>
      </c>
      <c r="H1285">
        <f>IF(H1284&gt;Summary!$V$4,0,H1284+F1284)</f>
        <v>96870</v>
      </c>
      <c r="I1285" s="26">
        <f>DATE(YEAR(Summary!$V$2),MONTH(Summary!$V$2),DAY(Summary!$V$2)+INT(H1285/480))</f>
        <v>43791</v>
      </c>
      <c r="J1285" s="27">
        <f t="shared" si="20"/>
        <v>0.60416666666666663</v>
      </c>
    </row>
    <row r="1286" spans="1:10">
      <c r="A1286" t="str">
        <f>VLOOKUP(Summary!M1285,Summary!$P$13:$Q$24,2)</f>
        <v>B600-fire</v>
      </c>
      <c r="B1286">
        <f>ROUND(NORMINV(Summary!M1287,VLOOKUP(A1286,Summary!$Q$13:$S$24,3,FALSE),VLOOKUP(A1286,Summary!$Q$13:$S$24,3,FALSE)/6),-1)</f>
        <v>370</v>
      </c>
      <c r="C1286" t="str">
        <f>IF(AND(H1286=0,C1285=Summary!$P$2),Summary!$Q$2,IF(AND(H1286=0,C1285=Summary!$Q$2),Summary!$R$2,C1285))</f>
        <v>Jared</v>
      </c>
      <c r="D1286" t="str">
        <f>IF(C1286=Summary!$P$26,VLOOKUP(Summary!M1293,Summary!$Q$26:$R$27,2),IF('Run Data'!C1286=Summary!$P$28,VLOOKUP(Summary!M1293,Summary!$Q$28:$R$29,2),VLOOKUP(Summary!M1293,Summary!$Q$30:$R$32,2)))</f>
        <v>Sprig 3</v>
      </c>
      <c r="E1286" t="str">
        <f>VLOOKUP(Summary!M1296,Summary!$P$42:$Q$43,2)</f>
        <v>86</v>
      </c>
      <c r="F1286">
        <f>IF(LEFT(A1286,3)="B60",20,IF(LEFT(A1286,3)="B12",30,25))+B1286*0.5+INT(Summary!M1299*20)</f>
        <v>219</v>
      </c>
      <c r="G1286">
        <f>ROUND(IF(OR(ISERROR(FIND(Summary!$P$89,CONCATENATE(C1286,D1286,E1286))),ISERROR(FIND(Summary!$Q$89,A1286))),Summary!$R$45,IF(H1286&gt;Summary!$V$3,Summary!$R$46,Summary!$R$45))*(B1286+30),0)</f>
        <v>4</v>
      </c>
      <c r="H1286">
        <f>IF(H1285&gt;Summary!$V$4,0,H1285+F1285)</f>
        <v>97379</v>
      </c>
      <c r="I1286" s="26">
        <f>DATE(YEAR(Summary!$V$2),MONTH(Summary!$V$2),DAY(Summary!$V$2)+INT(H1286/480))</f>
        <v>43792</v>
      </c>
      <c r="J1286" s="27">
        <f t="shared" si="20"/>
        <v>0.62430555555555556</v>
      </c>
    </row>
    <row r="1287" spans="1:10">
      <c r="A1287" t="str">
        <f>VLOOKUP(Summary!M1286,Summary!$P$13:$Q$24,2)</f>
        <v>B1700-fire</v>
      </c>
      <c r="B1287">
        <f>ROUND(NORMINV(Summary!M1288,VLOOKUP(A1287,Summary!$Q$13:$S$24,3,FALSE),VLOOKUP(A1287,Summary!$Q$13:$S$24,3,FALSE)/6),-1)</f>
        <v>760</v>
      </c>
      <c r="C1287" t="str">
        <f>IF(AND(H1287=0,C1286=Summary!$P$2),Summary!$Q$2,IF(AND(H1287=0,C1286=Summary!$Q$2),Summary!$R$2,C1286))</f>
        <v>Jared</v>
      </c>
      <c r="D1287" t="str">
        <f>IF(C1287=Summary!$P$26,VLOOKUP(Summary!M1294,Summary!$Q$26:$R$27,2),IF('Run Data'!C1287=Summary!$P$28,VLOOKUP(Summary!M1294,Summary!$Q$28:$R$29,2),VLOOKUP(Summary!M1294,Summary!$Q$30:$R$32,2)))</f>
        <v>Sprig 3</v>
      </c>
      <c r="E1287" t="str">
        <f>VLOOKUP(Summary!M1297,Summary!$P$42:$Q$43,2)</f>
        <v>86</v>
      </c>
      <c r="F1287">
        <f>IF(LEFT(A1287,3)="B60",20,IF(LEFT(A1287,3)="B12",30,25))+B1287*0.5+INT(Summary!M1300*20)</f>
        <v>408</v>
      </c>
      <c r="G1287">
        <f>ROUND(IF(OR(ISERROR(FIND(Summary!$P$89,CONCATENATE(C1287,D1287,E1287))),ISERROR(FIND(Summary!$Q$89,A1287))),Summary!$R$45,IF(H1287&gt;Summary!$V$3,Summary!$R$46,Summary!$R$45))*(B1287+30),0)</f>
        <v>95</v>
      </c>
      <c r="H1287">
        <f>IF(H1286&gt;Summary!$V$4,0,H1286+F1286)</f>
        <v>97598</v>
      </c>
      <c r="I1287" s="26">
        <f>DATE(YEAR(Summary!$V$2),MONTH(Summary!$V$2),DAY(Summary!$V$2)+INT(H1287/480))</f>
        <v>43793</v>
      </c>
      <c r="J1287" s="27">
        <f t="shared" si="20"/>
        <v>0.44305555555555554</v>
      </c>
    </row>
    <row r="1288" spans="1:10">
      <c r="A1288" t="str">
        <f>VLOOKUP(Summary!M1287,Summary!$P$13:$Q$24,2)</f>
        <v>B1200-plum</v>
      </c>
      <c r="B1288">
        <f>ROUND(NORMINV(Summary!M1289,VLOOKUP(A1288,Summary!$Q$13:$S$24,3,FALSE),VLOOKUP(A1288,Summary!$Q$13:$S$24,3,FALSE)/6),-1)</f>
        <v>480</v>
      </c>
      <c r="C1288" t="str">
        <f>IF(AND(H1288=0,C1287=Summary!$P$2),Summary!$Q$2,IF(AND(H1288=0,C1287=Summary!$Q$2),Summary!$R$2,C1287))</f>
        <v>Jared</v>
      </c>
      <c r="D1288" t="str">
        <f>IF(C1288=Summary!$P$26,VLOOKUP(Summary!M1295,Summary!$Q$26:$R$27,2),IF('Run Data'!C1288=Summary!$P$28,VLOOKUP(Summary!M1295,Summary!$Q$28:$R$29,2),VLOOKUP(Summary!M1295,Summary!$Q$30:$R$32,2)))</f>
        <v>Sprig 1</v>
      </c>
      <c r="E1288" t="str">
        <f>VLOOKUP(Summary!M1298,Summary!$P$42:$Q$43,2)</f>
        <v>86</v>
      </c>
      <c r="F1288">
        <f>IF(LEFT(A1288,3)="B60",20,IF(LEFT(A1288,3)="B12",30,25))+B1288*0.5+INT(Summary!M1301*20)</f>
        <v>272</v>
      </c>
      <c r="G1288">
        <f>ROUND(IF(OR(ISERROR(FIND(Summary!$P$89,CONCATENATE(C1288,D1288,E1288))),ISERROR(FIND(Summary!$Q$89,A1288))),Summary!$R$45,IF(H1288&gt;Summary!$V$3,Summary!$R$46,Summary!$R$45))*(B1288+30),0)</f>
        <v>5</v>
      </c>
      <c r="H1288">
        <f>IF(H1287&gt;Summary!$V$4,0,H1287+F1287)</f>
        <v>98006</v>
      </c>
      <c r="I1288" s="26">
        <f>DATE(YEAR(Summary!$V$2),MONTH(Summary!$V$2),DAY(Summary!$V$2)+INT(H1288/480))</f>
        <v>43794</v>
      </c>
      <c r="J1288" s="27">
        <f t="shared" si="20"/>
        <v>0.39305555555555555</v>
      </c>
    </row>
    <row r="1289" spans="1:10">
      <c r="A1289" t="str">
        <f>VLOOKUP(Summary!M1288,Summary!$P$13:$Q$24,2)</f>
        <v>B1200-fire</v>
      </c>
      <c r="B1289">
        <f>ROUND(NORMINV(Summary!M1290,VLOOKUP(A1289,Summary!$Q$13:$S$24,3,FALSE),VLOOKUP(A1289,Summary!$Q$13:$S$24,3,FALSE)/6),-1)</f>
        <v>1210</v>
      </c>
      <c r="C1289" t="str">
        <f>IF(AND(H1289=0,C1288=Summary!$P$2),Summary!$Q$2,IF(AND(H1289=0,C1288=Summary!$Q$2),Summary!$R$2,C1288))</f>
        <v>Jared</v>
      </c>
      <c r="D1289" t="str">
        <f>IF(C1289=Summary!$P$26,VLOOKUP(Summary!M1296,Summary!$Q$26:$R$27,2),IF('Run Data'!C1289=Summary!$P$28,VLOOKUP(Summary!M1296,Summary!$Q$28:$R$29,2),VLOOKUP(Summary!M1296,Summary!$Q$30:$R$32,2)))</f>
        <v>Sprig 3</v>
      </c>
      <c r="E1289" t="str">
        <f>VLOOKUP(Summary!M1299,Summary!$P$42:$Q$43,2)</f>
        <v>86</v>
      </c>
      <c r="F1289">
        <f>IF(LEFT(A1289,3)="B60",20,IF(LEFT(A1289,3)="B12",30,25))+B1289*0.5+INT(Summary!M1302*20)</f>
        <v>637</v>
      </c>
      <c r="G1289">
        <f>ROUND(IF(OR(ISERROR(FIND(Summary!$P$89,CONCATENATE(C1289,D1289,E1289))),ISERROR(FIND(Summary!$Q$89,A1289))),Summary!$R$45,IF(H1289&gt;Summary!$V$3,Summary!$R$46,Summary!$R$45))*(B1289+30),0)</f>
        <v>12</v>
      </c>
      <c r="H1289">
        <f>IF(H1288&gt;Summary!$V$4,0,H1288+F1288)</f>
        <v>98278</v>
      </c>
      <c r="I1289" s="26">
        <f>DATE(YEAR(Summary!$V$2),MONTH(Summary!$V$2),DAY(Summary!$V$2)+INT(H1289/480))</f>
        <v>43794</v>
      </c>
      <c r="J1289" s="27">
        <f t="shared" si="20"/>
        <v>0.58194444444444449</v>
      </c>
    </row>
    <row r="1290" spans="1:10">
      <c r="A1290" t="str">
        <f>VLOOKUP(Summary!M1289,Summary!$P$13:$Q$24,2)</f>
        <v>B1200-lime</v>
      </c>
      <c r="B1290">
        <f>ROUND(NORMINV(Summary!M1291,VLOOKUP(A1290,Summary!$Q$13:$S$24,3,FALSE),VLOOKUP(A1290,Summary!$Q$13:$S$24,3,FALSE)/6),-1)</f>
        <v>1030</v>
      </c>
      <c r="C1290" t="str">
        <f>IF(AND(H1290=0,C1289=Summary!$P$2),Summary!$Q$2,IF(AND(H1290=0,C1289=Summary!$Q$2),Summary!$R$2,C1289))</f>
        <v>Jared</v>
      </c>
      <c r="D1290" t="str">
        <f>IF(C1290=Summary!$P$26,VLOOKUP(Summary!M1297,Summary!$Q$26:$R$27,2),IF('Run Data'!C1290=Summary!$P$28,VLOOKUP(Summary!M1297,Summary!$Q$28:$R$29,2),VLOOKUP(Summary!M1297,Summary!$Q$30:$R$32,2)))</f>
        <v>Sprig 3</v>
      </c>
      <c r="E1290" t="str">
        <f>VLOOKUP(Summary!M1300,Summary!$P$42:$Q$43,2)</f>
        <v>86</v>
      </c>
      <c r="F1290">
        <f>IF(LEFT(A1290,3)="B60",20,IF(LEFT(A1290,3)="B12",30,25))+B1290*0.5+INT(Summary!M1303*20)</f>
        <v>558</v>
      </c>
      <c r="G1290">
        <f>ROUND(IF(OR(ISERROR(FIND(Summary!$P$89,CONCATENATE(C1290,D1290,E1290))),ISERROR(FIND(Summary!$Q$89,A1290))),Summary!$R$45,IF(H1290&gt;Summary!$V$3,Summary!$R$46,Summary!$R$45))*(B1290+30),0)</f>
        <v>11</v>
      </c>
      <c r="H1290">
        <f>IF(H1289&gt;Summary!$V$4,0,H1289+F1289)</f>
        <v>98915</v>
      </c>
      <c r="I1290" s="26">
        <f>DATE(YEAR(Summary!$V$2),MONTH(Summary!$V$2),DAY(Summary!$V$2)+INT(H1290/480))</f>
        <v>43796</v>
      </c>
      <c r="J1290" s="27">
        <f t="shared" si="20"/>
        <v>0.3576388888888889</v>
      </c>
    </row>
    <row r="1291" spans="1:10">
      <c r="A1291" t="str">
        <f>VLOOKUP(Summary!M1290,Summary!$P$13:$Q$24,2)</f>
        <v>B1200-fire</v>
      </c>
      <c r="B1291">
        <f>ROUND(NORMINV(Summary!M1292,VLOOKUP(A1291,Summary!$Q$13:$S$24,3,FALSE),VLOOKUP(A1291,Summary!$Q$13:$S$24,3,FALSE)/6),-1)</f>
        <v>1100</v>
      </c>
      <c r="C1291" t="str">
        <f>IF(AND(H1291=0,C1290=Summary!$P$2),Summary!$Q$2,IF(AND(H1291=0,C1290=Summary!$Q$2),Summary!$R$2,C1290))</f>
        <v>Jared</v>
      </c>
      <c r="D1291" t="str">
        <f>IF(C1291=Summary!$P$26,VLOOKUP(Summary!M1298,Summary!$Q$26:$R$27,2),IF('Run Data'!C1291=Summary!$P$28,VLOOKUP(Summary!M1298,Summary!$Q$28:$R$29,2),VLOOKUP(Summary!M1298,Summary!$Q$30:$R$32,2)))</f>
        <v>Sprig 2</v>
      </c>
      <c r="E1291" t="str">
        <f>VLOOKUP(Summary!M1301,Summary!$P$42:$Q$43,2)</f>
        <v>86</v>
      </c>
      <c r="F1291">
        <f>IF(LEFT(A1291,3)="B60",20,IF(LEFT(A1291,3)="B12",30,25))+B1291*0.5+INT(Summary!M1304*20)</f>
        <v>590</v>
      </c>
      <c r="G1291">
        <f>ROUND(IF(OR(ISERROR(FIND(Summary!$P$89,CONCATENATE(C1291,D1291,E1291))),ISERROR(FIND(Summary!$Q$89,A1291))),Summary!$R$45,IF(H1291&gt;Summary!$V$3,Summary!$R$46,Summary!$R$45))*(B1291+30),0)</f>
        <v>11</v>
      </c>
      <c r="H1291">
        <f>IF(H1290&gt;Summary!$V$4,0,H1290+F1290)</f>
        <v>99473</v>
      </c>
      <c r="I1291" s="26">
        <f>DATE(YEAR(Summary!$V$2),MONTH(Summary!$V$2),DAY(Summary!$V$2)+INT(H1291/480))</f>
        <v>43797</v>
      </c>
      <c r="J1291" s="27">
        <f t="shared" si="20"/>
        <v>0.41180555555555554</v>
      </c>
    </row>
    <row r="1292" spans="1:10">
      <c r="A1292" t="str">
        <f>VLOOKUP(Summary!M1291,Summary!$P$13:$Q$24,2)</f>
        <v>B1700-lime</v>
      </c>
      <c r="B1292">
        <f>ROUND(NORMINV(Summary!M1293,VLOOKUP(A1292,Summary!$Q$13:$S$24,3,FALSE),VLOOKUP(A1292,Summary!$Q$13:$S$24,3,FALSE)/6),-1)</f>
        <v>470</v>
      </c>
      <c r="C1292" t="str">
        <f>IF(AND(H1292=0,C1291=Summary!$P$2),Summary!$Q$2,IF(AND(H1292=0,C1291=Summary!$Q$2),Summary!$R$2,C1291))</f>
        <v>Jared</v>
      </c>
      <c r="D1292" t="str">
        <f>IF(C1292=Summary!$P$26,VLOOKUP(Summary!M1299,Summary!$Q$26:$R$27,2),IF('Run Data'!C1292=Summary!$P$28,VLOOKUP(Summary!M1299,Summary!$Q$28:$R$29,2),VLOOKUP(Summary!M1299,Summary!$Q$30:$R$32,2)))</f>
        <v>Sprig 3</v>
      </c>
      <c r="E1292" t="str">
        <f>VLOOKUP(Summary!M1302,Summary!$P$42:$Q$43,2)</f>
        <v>86</v>
      </c>
      <c r="F1292">
        <f>IF(LEFT(A1292,3)="B60",20,IF(LEFT(A1292,3)="B12",30,25))+B1292*0.5+INT(Summary!M1305*20)</f>
        <v>275</v>
      </c>
      <c r="G1292">
        <f>ROUND(IF(OR(ISERROR(FIND(Summary!$P$89,CONCATENATE(C1292,D1292,E1292))),ISERROR(FIND(Summary!$Q$89,A1292))),Summary!$R$45,IF(H1292&gt;Summary!$V$3,Summary!$R$46,Summary!$R$45))*(B1292+30),0)</f>
        <v>60</v>
      </c>
      <c r="H1292">
        <f>IF(H1291&gt;Summary!$V$4,0,H1291+F1291)</f>
        <v>100063</v>
      </c>
      <c r="I1292" s="26">
        <f>DATE(YEAR(Summary!$V$2),MONTH(Summary!$V$2),DAY(Summary!$V$2)+INT(H1292/480))</f>
        <v>43798</v>
      </c>
      <c r="J1292" s="27">
        <f t="shared" si="20"/>
        <v>0.48819444444444443</v>
      </c>
    </row>
    <row r="1293" spans="1:10">
      <c r="A1293" t="str">
        <f>VLOOKUP(Summary!M1292,Summary!$P$13:$Q$24,2)</f>
        <v>B1200-plum</v>
      </c>
      <c r="B1293">
        <f>ROUND(NORMINV(Summary!M1294,VLOOKUP(A1293,Summary!$Q$13:$S$24,3,FALSE),VLOOKUP(A1293,Summary!$Q$13:$S$24,3,FALSE)/6),-1)</f>
        <v>530</v>
      </c>
      <c r="C1293" t="str">
        <f>IF(AND(H1293=0,C1292=Summary!$P$2),Summary!$Q$2,IF(AND(H1293=0,C1292=Summary!$Q$2),Summary!$R$2,C1292))</f>
        <v>Jared</v>
      </c>
      <c r="D1293" t="str">
        <f>IF(C1293=Summary!$P$26,VLOOKUP(Summary!M1300,Summary!$Q$26:$R$27,2),IF('Run Data'!C1293=Summary!$P$28,VLOOKUP(Summary!M1300,Summary!$Q$28:$R$29,2),VLOOKUP(Summary!M1300,Summary!$Q$30:$R$32,2)))</f>
        <v>Sprig 1</v>
      </c>
      <c r="E1293" t="str">
        <f>VLOOKUP(Summary!M1303,Summary!$P$42:$Q$43,2)</f>
        <v>86</v>
      </c>
      <c r="F1293">
        <f>IF(LEFT(A1293,3)="B60",20,IF(LEFT(A1293,3)="B12",30,25))+B1293*0.5+INT(Summary!M1306*20)</f>
        <v>305</v>
      </c>
      <c r="G1293">
        <f>ROUND(IF(OR(ISERROR(FIND(Summary!$P$89,CONCATENATE(C1293,D1293,E1293))),ISERROR(FIND(Summary!$Q$89,A1293))),Summary!$R$45,IF(H1293&gt;Summary!$V$3,Summary!$R$46,Summary!$R$45))*(B1293+30),0)</f>
        <v>6</v>
      </c>
      <c r="H1293">
        <f>IF(H1292&gt;Summary!$V$4,0,H1292+F1292)</f>
        <v>100338</v>
      </c>
      <c r="I1293" s="26">
        <f>DATE(YEAR(Summary!$V$2),MONTH(Summary!$V$2),DAY(Summary!$V$2)+INT(H1293/480))</f>
        <v>43799</v>
      </c>
      <c r="J1293" s="27">
        <f t="shared" si="20"/>
        <v>0.34583333333333338</v>
      </c>
    </row>
    <row r="1294" spans="1:10">
      <c r="A1294" t="str">
        <f>VLOOKUP(Summary!M1293,Summary!$P$13:$Q$24,2)</f>
        <v>B1700-fire</v>
      </c>
      <c r="B1294">
        <f>ROUND(NORMINV(Summary!M1295,VLOOKUP(A1294,Summary!$Q$13:$S$24,3,FALSE),VLOOKUP(A1294,Summary!$Q$13:$S$24,3,FALSE)/6),-1)</f>
        <v>530</v>
      </c>
      <c r="C1294" t="str">
        <f>IF(AND(H1294=0,C1293=Summary!$P$2),Summary!$Q$2,IF(AND(H1294=0,C1293=Summary!$Q$2),Summary!$R$2,C1293))</f>
        <v>Jared</v>
      </c>
      <c r="D1294" t="str">
        <f>IF(C1294=Summary!$P$26,VLOOKUP(Summary!M1301,Summary!$Q$26:$R$27,2),IF('Run Data'!C1294=Summary!$P$28,VLOOKUP(Summary!M1301,Summary!$Q$28:$R$29,2),VLOOKUP(Summary!M1301,Summary!$Q$30:$R$32,2)))</f>
        <v>Sprig 1</v>
      </c>
      <c r="E1294" t="str">
        <f>VLOOKUP(Summary!M1304,Summary!$P$42:$Q$43,2)</f>
        <v>86</v>
      </c>
      <c r="F1294">
        <f>IF(LEFT(A1294,3)="B60",20,IF(LEFT(A1294,3)="B12",30,25))+B1294*0.5+INT(Summary!M1307*20)</f>
        <v>302</v>
      </c>
      <c r="G1294">
        <f>ROUND(IF(OR(ISERROR(FIND(Summary!$P$89,CONCATENATE(C1294,D1294,E1294))),ISERROR(FIND(Summary!$Q$89,A1294))),Summary!$R$45,IF(H1294&gt;Summary!$V$3,Summary!$R$46,Summary!$R$45))*(B1294+30),0)</f>
        <v>67</v>
      </c>
      <c r="H1294">
        <f>IF(H1293&gt;Summary!$V$4,0,H1293+F1293)</f>
        <v>100643</v>
      </c>
      <c r="I1294" s="26">
        <f>DATE(YEAR(Summary!$V$2),MONTH(Summary!$V$2),DAY(Summary!$V$2)+INT(H1294/480))</f>
        <v>43799</v>
      </c>
      <c r="J1294" s="27">
        <f t="shared" si="20"/>
        <v>0.55763888888888891</v>
      </c>
    </row>
    <row r="1295" spans="1:10">
      <c r="A1295" t="str">
        <f>VLOOKUP(Summary!M1294,Summary!$P$13:$Q$24,2)</f>
        <v>B1700-sky</v>
      </c>
      <c r="B1295">
        <f>ROUND(NORMINV(Summary!M1296,VLOOKUP(A1295,Summary!$Q$13:$S$24,3,FALSE),VLOOKUP(A1295,Summary!$Q$13:$S$24,3,FALSE)/6),-1)</f>
        <v>590</v>
      </c>
      <c r="C1295" t="str">
        <f>IF(AND(H1295=0,C1294=Summary!$P$2),Summary!$Q$2,IF(AND(H1295=0,C1294=Summary!$Q$2),Summary!$R$2,C1294))</f>
        <v>Jared</v>
      </c>
      <c r="D1295" t="str">
        <f>IF(C1295=Summary!$P$26,VLOOKUP(Summary!M1302,Summary!$Q$26:$R$27,2),IF('Run Data'!C1295=Summary!$P$28,VLOOKUP(Summary!M1302,Summary!$Q$28:$R$29,2),VLOOKUP(Summary!M1302,Summary!$Q$30:$R$32,2)))</f>
        <v>Sprig 1</v>
      </c>
      <c r="E1295" t="str">
        <f>VLOOKUP(Summary!M1305,Summary!$P$42:$Q$43,2)</f>
        <v>86</v>
      </c>
      <c r="F1295">
        <f>IF(LEFT(A1295,3)="B60",20,IF(LEFT(A1295,3)="B12",30,25))+B1295*0.5+INT(Summary!M1308*20)</f>
        <v>324</v>
      </c>
      <c r="G1295">
        <f>ROUND(IF(OR(ISERROR(FIND(Summary!$P$89,CONCATENATE(C1295,D1295,E1295))),ISERROR(FIND(Summary!$Q$89,A1295))),Summary!$R$45,IF(H1295&gt;Summary!$V$3,Summary!$R$46,Summary!$R$45))*(B1295+30),0)</f>
        <v>74</v>
      </c>
      <c r="H1295">
        <f>IF(H1294&gt;Summary!$V$4,0,H1294+F1294)</f>
        <v>100945</v>
      </c>
      <c r="I1295" s="26">
        <f>DATE(YEAR(Summary!$V$2),MONTH(Summary!$V$2),DAY(Summary!$V$2)+INT(H1295/480))</f>
        <v>43800</v>
      </c>
      <c r="J1295" s="27">
        <f t="shared" si="20"/>
        <v>0.43402777777777773</v>
      </c>
    </row>
    <row r="1296" spans="1:10">
      <c r="A1296" t="str">
        <f>VLOOKUP(Summary!M1295,Summary!$P$13:$Q$24,2)</f>
        <v>B600-plum</v>
      </c>
      <c r="B1296">
        <f>ROUND(NORMINV(Summary!M1297,VLOOKUP(A1296,Summary!$Q$13:$S$24,3,FALSE),VLOOKUP(A1296,Summary!$Q$13:$S$24,3,FALSE)/6),-1)</f>
        <v>220</v>
      </c>
      <c r="C1296" t="str">
        <f>IF(AND(H1296=0,C1295=Summary!$P$2),Summary!$Q$2,IF(AND(H1296=0,C1295=Summary!$Q$2),Summary!$R$2,C1295))</f>
        <v>Jared</v>
      </c>
      <c r="D1296" t="str">
        <f>IF(C1296=Summary!$P$26,VLOOKUP(Summary!M1303,Summary!$Q$26:$R$27,2),IF('Run Data'!C1296=Summary!$P$28,VLOOKUP(Summary!M1303,Summary!$Q$28:$R$29,2),VLOOKUP(Summary!M1303,Summary!$Q$30:$R$32,2)))</f>
        <v>Sprig 3</v>
      </c>
      <c r="E1296" t="str">
        <f>VLOOKUP(Summary!M1306,Summary!$P$42:$Q$43,2)</f>
        <v>86</v>
      </c>
      <c r="F1296">
        <f>IF(LEFT(A1296,3)="B60",20,IF(LEFT(A1296,3)="B12",30,25))+B1296*0.5+INT(Summary!M1309*20)</f>
        <v>140</v>
      </c>
      <c r="G1296">
        <f>ROUND(IF(OR(ISERROR(FIND(Summary!$P$89,CONCATENATE(C1296,D1296,E1296))),ISERROR(FIND(Summary!$Q$89,A1296))),Summary!$R$45,IF(H1296&gt;Summary!$V$3,Summary!$R$46,Summary!$R$45))*(B1296+30),0)</f>
        <v>3</v>
      </c>
      <c r="H1296">
        <f>IF(H1295&gt;Summary!$V$4,0,H1295+F1295)</f>
        <v>101269</v>
      </c>
      <c r="I1296" s="26">
        <f>DATE(YEAR(Summary!$V$2),MONTH(Summary!$V$2),DAY(Summary!$V$2)+INT(H1296/480))</f>
        <v>43800</v>
      </c>
      <c r="J1296" s="27">
        <f t="shared" si="20"/>
        <v>0.65902777777777777</v>
      </c>
    </row>
    <row r="1297" spans="1:10">
      <c r="A1297" t="str">
        <f>VLOOKUP(Summary!M1296,Summary!$P$13:$Q$24,2)</f>
        <v>B1200-lime</v>
      </c>
      <c r="B1297">
        <f>ROUND(NORMINV(Summary!M1298,VLOOKUP(A1297,Summary!$Q$13:$S$24,3,FALSE),VLOOKUP(A1297,Summary!$Q$13:$S$24,3,FALSE)/6),-1)</f>
        <v>800</v>
      </c>
      <c r="C1297" t="str">
        <f>IF(AND(H1297=0,C1296=Summary!$P$2),Summary!$Q$2,IF(AND(H1297=0,C1296=Summary!$Q$2),Summary!$R$2,C1296))</f>
        <v>Jared</v>
      </c>
      <c r="D1297" t="str">
        <f>IF(C1297=Summary!$P$26,VLOOKUP(Summary!M1304,Summary!$Q$26:$R$27,2),IF('Run Data'!C1297=Summary!$P$28,VLOOKUP(Summary!M1304,Summary!$Q$28:$R$29,2),VLOOKUP(Summary!M1304,Summary!$Q$30:$R$32,2)))</f>
        <v>Sprig 2</v>
      </c>
      <c r="E1297" t="str">
        <f>VLOOKUP(Summary!M1307,Summary!$P$42:$Q$43,2)</f>
        <v>86</v>
      </c>
      <c r="F1297">
        <f>IF(LEFT(A1297,3)="B60",20,IF(LEFT(A1297,3)="B12",30,25))+B1297*0.5+INT(Summary!M1310*20)</f>
        <v>448</v>
      </c>
      <c r="G1297">
        <f>ROUND(IF(OR(ISERROR(FIND(Summary!$P$89,CONCATENATE(C1297,D1297,E1297))),ISERROR(FIND(Summary!$Q$89,A1297))),Summary!$R$45,IF(H1297&gt;Summary!$V$3,Summary!$R$46,Summary!$R$45))*(B1297+30),0)</f>
        <v>8</v>
      </c>
      <c r="H1297">
        <f>IF(H1296&gt;Summary!$V$4,0,H1296+F1296)</f>
        <v>101409</v>
      </c>
      <c r="I1297" s="26">
        <f>DATE(YEAR(Summary!$V$2),MONTH(Summary!$V$2),DAY(Summary!$V$2)+INT(H1297/480))</f>
        <v>43801</v>
      </c>
      <c r="J1297" s="27">
        <f t="shared" ref="J1297:J1360" si="21">TIME(INT(MOD(H1297,480)/60)+8,MOD(MOD(H1297,480),60),0)</f>
        <v>0.42291666666666666</v>
      </c>
    </row>
    <row r="1298" spans="1:10">
      <c r="A1298" t="str">
        <f>VLOOKUP(Summary!M1297,Summary!$P$13:$Q$24,2)</f>
        <v>B1700-plum</v>
      </c>
      <c r="B1298">
        <f>ROUND(NORMINV(Summary!M1299,VLOOKUP(A1298,Summary!$Q$13:$S$24,3,FALSE),VLOOKUP(A1298,Summary!$Q$13:$S$24,3,FALSE)/6),-1)</f>
        <v>330</v>
      </c>
      <c r="C1298" t="str">
        <f>IF(AND(H1298=0,C1297=Summary!$P$2),Summary!$Q$2,IF(AND(H1298=0,C1297=Summary!$Q$2),Summary!$R$2,C1297))</f>
        <v>Jared</v>
      </c>
      <c r="D1298" t="str">
        <f>IF(C1298=Summary!$P$26,VLOOKUP(Summary!M1305,Summary!$Q$26:$R$27,2),IF('Run Data'!C1298=Summary!$P$28,VLOOKUP(Summary!M1305,Summary!$Q$28:$R$29,2),VLOOKUP(Summary!M1305,Summary!$Q$30:$R$32,2)))</f>
        <v>Sprig 3</v>
      </c>
      <c r="E1298" t="str">
        <f>VLOOKUP(Summary!M1308,Summary!$P$42:$Q$43,2)</f>
        <v>86</v>
      </c>
      <c r="F1298">
        <f>IF(LEFT(A1298,3)="B60",20,IF(LEFT(A1298,3)="B12",30,25))+B1298*0.5+INT(Summary!M1311*20)</f>
        <v>193</v>
      </c>
      <c r="G1298">
        <f>ROUND(IF(OR(ISERROR(FIND(Summary!$P$89,CONCATENATE(C1298,D1298,E1298))),ISERROR(FIND(Summary!$Q$89,A1298))),Summary!$R$45,IF(H1298&gt;Summary!$V$3,Summary!$R$46,Summary!$R$45))*(B1298+30),0)</f>
        <v>43</v>
      </c>
      <c r="H1298">
        <f>IF(H1297&gt;Summary!$V$4,0,H1297+F1297)</f>
        <v>101857</v>
      </c>
      <c r="I1298" s="26">
        <f>DATE(YEAR(Summary!$V$2),MONTH(Summary!$V$2),DAY(Summary!$V$2)+INT(H1298/480))</f>
        <v>43802</v>
      </c>
      <c r="J1298" s="27">
        <f t="shared" si="21"/>
        <v>0.40069444444444446</v>
      </c>
    </row>
    <row r="1299" spans="1:10">
      <c r="A1299" t="str">
        <f>VLOOKUP(Summary!M1298,Summary!$P$13:$Q$24,2)</f>
        <v>B1200-fire</v>
      </c>
      <c r="B1299">
        <f>ROUND(NORMINV(Summary!M1300,VLOOKUP(A1299,Summary!$Q$13:$S$24,3,FALSE),VLOOKUP(A1299,Summary!$Q$13:$S$24,3,FALSE)/6),-1)</f>
        <v>1000</v>
      </c>
      <c r="C1299" t="str">
        <f>IF(AND(H1299=0,C1298=Summary!$P$2),Summary!$Q$2,IF(AND(H1299=0,C1298=Summary!$Q$2),Summary!$R$2,C1298))</f>
        <v>Jared</v>
      </c>
      <c r="D1299" t="str">
        <f>IF(C1299=Summary!$P$26,VLOOKUP(Summary!M1306,Summary!$Q$26:$R$27,2),IF('Run Data'!C1299=Summary!$P$28,VLOOKUP(Summary!M1306,Summary!$Q$28:$R$29,2),VLOOKUP(Summary!M1306,Summary!$Q$30:$R$32,2)))</f>
        <v>Sprig 2</v>
      </c>
      <c r="E1299" t="str">
        <f>VLOOKUP(Summary!M1309,Summary!$P$42:$Q$43,2)</f>
        <v>86</v>
      </c>
      <c r="F1299">
        <f>IF(LEFT(A1299,3)="B60",20,IF(LEFT(A1299,3)="B12",30,25))+B1299*0.5+INT(Summary!M1312*20)</f>
        <v>535</v>
      </c>
      <c r="G1299">
        <f>ROUND(IF(OR(ISERROR(FIND(Summary!$P$89,CONCATENATE(C1299,D1299,E1299))),ISERROR(FIND(Summary!$Q$89,A1299))),Summary!$R$45,IF(H1299&gt;Summary!$V$3,Summary!$R$46,Summary!$R$45))*(B1299+30),0)</f>
        <v>10</v>
      </c>
      <c r="H1299">
        <f>IF(H1298&gt;Summary!$V$4,0,H1298+F1298)</f>
        <v>102050</v>
      </c>
      <c r="I1299" s="26">
        <f>DATE(YEAR(Summary!$V$2),MONTH(Summary!$V$2),DAY(Summary!$V$2)+INT(H1299/480))</f>
        <v>43802</v>
      </c>
      <c r="J1299" s="27">
        <f t="shared" si="21"/>
        <v>0.53472222222222221</v>
      </c>
    </row>
    <row r="1300" spans="1:10">
      <c r="A1300" t="str">
        <f>VLOOKUP(Summary!M1299,Summary!$P$13:$Q$24,2)</f>
        <v>B1700-plum</v>
      </c>
      <c r="B1300">
        <f>ROUND(NORMINV(Summary!M1301,VLOOKUP(A1300,Summary!$Q$13:$S$24,3,FALSE),VLOOKUP(A1300,Summary!$Q$13:$S$24,3,FALSE)/6),-1)</f>
        <v>240</v>
      </c>
      <c r="C1300" t="str">
        <f>IF(AND(H1300=0,C1299=Summary!$P$2),Summary!$Q$2,IF(AND(H1300=0,C1299=Summary!$Q$2),Summary!$R$2,C1299))</f>
        <v>Jared</v>
      </c>
      <c r="D1300" t="str">
        <f>IF(C1300=Summary!$P$26,VLOOKUP(Summary!M1307,Summary!$Q$26:$R$27,2),IF('Run Data'!C1300=Summary!$P$28,VLOOKUP(Summary!M1307,Summary!$Q$28:$R$29,2),VLOOKUP(Summary!M1307,Summary!$Q$30:$R$32,2)))</f>
        <v>Sprig 3</v>
      </c>
      <c r="E1300" t="str">
        <f>VLOOKUP(Summary!M1310,Summary!$P$42:$Q$43,2)</f>
        <v>87b</v>
      </c>
      <c r="F1300">
        <f>IF(LEFT(A1300,3)="B60",20,IF(LEFT(A1300,3)="B12",30,25))+B1300*0.5+INT(Summary!M1313*20)</f>
        <v>158</v>
      </c>
      <c r="G1300">
        <f>ROUND(IF(OR(ISERROR(FIND(Summary!$P$89,CONCATENATE(C1300,D1300,E1300))),ISERROR(FIND(Summary!$Q$89,A1300))),Summary!$R$45,IF(H1300&gt;Summary!$V$3,Summary!$R$46,Summary!$R$45))*(B1300+30),0)</f>
        <v>3</v>
      </c>
      <c r="H1300">
        <f>IF(H1299&gt;Summary!$V$4,0,H1299+F1299)</f>
        <v>102585</v>
      </c>
      <c r="I1300" s="26">
        <f>DATE(YEAR(Summary!$V$2),MONTH(Summary!$V$2),DAY(Summary!$V$2)+INT(H1300/480))</f>
        <v>43803</v>
      </c>
      <c r="J1300" s="27">
        <f t="shared" si="21"/>
        <v>0.57291666666666663</v>
      </c>
    </row>
    <row r="1301" spans="1:10">
      <c r="A1301" t="str">
        <f>VLOOKUP(Summary!M1300,Summary!$P$13:$Q$24,2)</f>
        <v>B600-fire</v>
      </c>
      <c r="B1301">
        <f>ROUND(NORMINV(Summary!M1302,VLOOKUP(A1301,Summary!$Q$13:$S$24,3,FALSE),VLOOKUP(A1301,Summary!$Q$13:$S$24,3,FALSE)/6),-1)</f>
        <v>320</v>
      </c>
      <c r="C1301" t="str">
        <f>IF(AND(H1301=0,C1300=Summary!$P$2),Summary!$Q$2,IF(AND(H1301=0,C1300=Summary!$Q$2),Summary!$R$2,C1300))</f>
        <v>Jared</v>
      </c>
      <c r="D1301" t="str">
        <f>IF(C1301=Summary!$P$26,VLOOKUP(Summary!M1308,Summary!$Q$26:$R$27,2),IF('Run Data'!C1301=Summary!$P$28,VLOOKUP(Summary!M1308,Summary!$Q$28:$R$29,2),VLOOKUP(Summary!M1308,Summary!$Q$30:$R$32,2)))</f>
        <v>Sprig 2</v>
      </c>
      <c r="E1301" t="str">
        <f>VLOOKUP(Summary!M1311,Summary!$P$42:$Q$43,2)</f>
        <v>86</v>
      </c>
      <c r="F1301">
        <f>IF(LEFT(A1301,3)="B60",20,IF(LEFT(A1301,3)="B12",30,25))+B1301*0.5+INT(Summary!M1314*20)</f>
        <v>186</v>
      </c>
      <c r="G1301">
        <f>ROUND(IF(OR(ISERROR(FIND(Summary!$P$89,CONCATENATE(C1301,D1301,E1301))),ISERROR(FIND(Summary!$Q$89,A1301))),Summary!$R$45,IF(H1301&gt;Summary!$V$3,Summary!$R$46,Summary!$R$45))*(B1301+30),0)</f>
        <v>4</v>
      </c>
      <c r="H1301">
        <f>IF(H1300&gt;Summary!$V$4,0,H1300+F1300)</f>
        <v>102743</v>
      </c>
      <c r="I1301" s="26">
        <f>DATE(YEAR(Summary!$V$2),MONTH(Summary!$V$2),DAY(Summary!$V$2)+INT(H1301/480))</f>
        <v>43804</v>
      </c>
      <c r="J1301" s="27">
        <f t="shared" si="21"/>
        <v>0.34930555555555554</v>
      </c>
    </row>
    <row r="1302" spans="1:10">
      <c r="A1302" t="str">
        <f>VLOOKUP(Summary!M1301,Summary!$P$13:$Q$24,2)</f>
        <v>B600-fire</v>
      </c>
      <c r="B1302">
        <f>ROUND(NORMINV(Summary!M1303,VLOOKUP(A1302,Summary!$Q$13:$S$24,3,FALSE),VLOOKUP(A1302,Summary!$Q$13:$S$24,3,FALSE)/6),-1)</f>
        <v>430</v>
      </c>
      <c r="C1302" t="str">
        <f>IF(AND(H1302=0,C1301=Summary!$P$2),Summary!$Q$2,IF(AND(H1302=0,C1301=Summary!$Q$2),Summary!$R$2,C1301))</f>
        <v>Jared</v>
      </c>
      <c r="D1302" t="str">
        <f>IF(C1302=Summary!$P$26,VLOOKUP(Summary!M1309,Summary!$Q$26:$R$27,2),IF('Run Data'!C1302=Summary!$P$28,VLOOKUP(Summary!M1309,Summary!$Q$28:$R$29,2),VLOOKUP(Summary!M1309,Summary!$Q$30:$R$32,2)))</f>
        <v>Sprig 2</v>
      </c>
      <c r="E1302" t="str">
        <f>VLOOKUP(Summary!M1312,Summary!$P$42:$Q$43,2)</f>
        <v>86</v>
      </c>
      <c r="F1302">
        <f>IF(LEFT(A1302,3)="B60",20,IF(LEFT(A1302,3)="B12",30,25))+B1302*0.5+INT(Summary!M1315*20)</f>
        <v>247</v>
      </c>
      <c r="G1302">
        <f>ROUND(IF(OR(ISERROR(FIND(Summary!$P$89,CONCATENATE(C1302,D1302,E1302))),ISERROR(FIND(Summary!$Q$89,A1302))),Summary!$R$45,IF(H1302&gt;Summary!$V$3,Summary!$R$46,Summary!$R$45))*(B1302+30),0)</f>
        <v>5</v>
      </c>
      <c r="H1302">
        <f>IF(H1301&gt;Summary!$V$4,0,H1301+F1301)</f>
        <v>102929</v>
      </c>
      <c r="I1302" s="26">
        <f>DATE(YEAR(Summary!$V$2),MONTH(Summary!$V$2),DAY(Summary!$V$2)+INT(H1302/480))</f>
        <v>43804</v>
      </c>
      <c r="J1302" s="27">
        <f t="shared" si="21"/>
        <v>0.47847222222222219</v>
      </c>
    </row>
    <row r="1303" spans="1:10">
      <c r="A1303" t="str">
        <f>VLOOKUP(Summary!M1302,Summary!$P$13:$Q$24,2)</f>
        <v>B600-fire</v>
      </c>
      <c r="B1303">
        <f>ROUND(NORMINV(Summary!M1304,VLOOKUP(A1303,Summary!$Q$13:$S$24,3,FALSE),VLOOKUP(A1303,Summary!$Q$13:$S$24,3,FALSE)/6),-1)</f>
        <v>400</v>
      </c>
      <c r="C1303" t="str">
        <f>IF(AND(H1303=0,C1302=Summary!$P$2),Summary!$Q$2,IF(AND(H1303=0,C1302=Summary!$Q$2),Summary!$R$2,C1302))</f>
        <v>Jared</v>
      </c>
      <c r="D1303" t="str">
        <f>IF(C1303=Summary!$P$26,VLOOKUP(Summary!M1310,Summary!$Q$26:$R$27,2),IF('Run Data'!C1303=Summary!$P$28,VLOOKUP(Summary!M1310,Summary!$Q$28:$R$29,2),VLOOKUP(Summary!M1310,Summary!$Q$30:$R$32,2)))</f>
        <v>Sprig 3</v>
      </c>
      <c r="E1303" t="str">
        <f>VLOOKUP(Summary!M1313,Summary!$P$42:$Q$43,2)</f>
        <v>86</v>
      </c>
      <c r="F1303">
        <f>IF(LEFT(A1303,3)="B60",20,IF(LEFT(A1303,3)="B12",30,25))+B1303*0.5+INT(Summary!M1316*20)</f>
        <v>231</v>
      </c>
      <c r="G1303">
        <f>ROUND(IF(OR(ISERROR(FIND(Summary!$P$89,CONCATENATE(C1303,D1303,E1303))),ISERROR(FIND(Summary!$Q$89,A1303))),Summary!$R$45,IF(H1303&gt;Summary!$V$3,Summary!$R$46,Summary!$R$45))*(B1303+30),0)</f>
        <v>4</v>
      </c>
      <c r="H1303">
        <f>IF(H1302&gt;Summary!$V$4,0,H1302+F1302)</f>
        <v>103176</v>
      </c>
      <c r="I1303" s="26">
        <f>DATE(YEAR(Summary!$V$2),MONTH(Summary!$V$2),DAY(Summary!$V$2)+INT(H1303/480))</f>
        <v>43804</v>
      </c>
      <c r="J1303" s="27">
        <f t="shared" si="21"/>
        <v>0.65</v>
      </c>
    </row>
    <row r="1304" spans="1:10">
      <c r="A1304" t="str">
        <f>VLOOKUP(Summary!M1303,Summary!$P$13:$Q$24,2)</f>
        <v>B1200-lime</v>
      </c>
      <c r="B1304">
        <f>ROUND(NORMINV(Summary!M1305,VLOOKUP(A1304,Summary!$Q$13:$S$24,3,FALSE),VLOOKUP(A1304,Summary!$Q$13:$S$24,3,FALSE)/6),-1)</f>
        <v>900</v>
      </c>
      <c r="C1304" t="str">
        <f>IF(AND(H1304=0,C1303=Summary!$P$2),Summary!$Q$2,IF(AND(H1304=0,C1303=Summary!$Q$2),Summary!$R$2,C1303))</f>
        <v>Jared</v>
      </c>
      <c r="D1304" t="str">
        <f>IF(C1304=Summary!$P$26,VLOOKUP(Summary!M1311,Summary!$Q$26:$R$27,2),IF('Run Data'!C1304=Summary!$P$28,VLOOKUP(Summary!M1311,Summary!$Q$28:$R$29,2),VLOOKUP(Summary!M1311,Summary!$Q$30:$R$32,2)))</f>
        <v>Sprig 1</v>
      </c>
      <c r="E1304" t="str">
        <f>VLOOKUP(Summary!M1314,Summary!$P$42:$Q$43,2)</f>
        <v>86</v>
      </c>
      <c r="F1304">
        <f>IF(LEFT(A1304,3)="B60",20,IF(LEFT(A1304,3)="B12",30,25))+B1304*0.5+INT(Summary!M1317*20)</f>
        <v>493</v>
      </c>
      <c r="G1304">
        <f>ROUND(IF(OR(ISERROR(FIND(Summary!$P$89,CONCATENATE(C1304,D1304,E1304))),ISERROR(FIND(Summary!$Q$89,A1304))),Summary!$R$45,IF(H1304&gt;Summary!$V$3,Summary!$R$46,Summary!$R$45))*(B1304+30),0)</f>
        <v>9</v>
      </c>
      <c r="H1304">
        <f>IF(H1303&gt;Summary!$V$4,0,H1303+F1303)</f>
        <v>103407</v>
      </c>
      <c r="I1304" s="26">
        <f>DATE(YEAR(Summary!$V$2),MONTH(Summary!$V$2),DAY(Summary!$V$2)+INT(H1304/480))</f>
        <v>43805</v>
      </c>
      <c r="J1304" s="27">
        <f t="shared" si="21"/>
        <v>0.4770833333333333</v>
      </c>
    </row>
    <row r="1305" spans="1:10">
      <c r="A1305" t="str">
        <f>VLOOKUP(Summary!M1304,Summary!$P$13:$Q$24,2)</f>
        <v>B1200-fire</v>
      </c>
      <c r="B1305">
        <f>ROUND(NORMINV(Summary!M1306,VLOOKUP(A1305,Summary!$Q$13:$S$24,3,FALSE),VLOOKUP(A1305,Summary!$Q$13:$S$24,3,FALSE)/6),-1)</f>
        <v>1220</v>
      </c>
      <c r="C1305" t="str">
        <f>IF(AND(H1305=0,C1304=Summary!$P$2),Summary!$Q$2,IF(AND(H1305=0,C1304=Summary!$Q$2),Summary!$R$2,C1304))</f>
        <v>Jared</v>
      </c>
      <c r="D1305" t="str">
        <f>IF(C1305=Summary!$P$26,VLOOKUP(Summary!M1312,Summary!$Q$26:$R$27,2),IF('Run Data'!C1305=Summary!$P$28,VLOOKUP(Summary!M1312,Summary!$Q$28:$R$29,2),VLOOKUP(Summary!M1312,Summary!$Q$30:$R$32,2)))</f>
        <v>Sprig 2</v>
      </c>
      <c r="E1305" t="str">
        <f>VLOOKUP(Summary!M1315,Summary!$P$42:$Q$43,2)</f>
        <v>86</v>
      </c>
      <c r="F1305">
        <f>IF(LEFT(A1305,3)="B60",20,IF(LEFT(A1305,3)="B12",30,25))+B1305*0.5+INT(Summary!M1318*20)</f>
        <v>651</v>
      </c>
      <c r="G1305">
        <f>ROUND(IF(OR(ISERROR(FIND(Summary!$P$89,CONCATENATE(C1305,D1305,E1305))),ISERROR(FIND(Summary!$Q$89,A1305))),Summary!$R$45,IF(H1305&gt;Summary!$V$3,Summary!$R$46,Summary!$R$45))*(B1305+30),0)</f>
        <v>13</v>
      </c>
      <c r="H1305">
        <f>IF(H1304&gt;Summary!$V$4,0,H1304+F1304)</f>
        <v>103900</v>
      </c>
      <c r="I1305" s="26">
        <f>DATE(YEAR(Summary!$V$2),MONTH(Summary!$V$2),DAY(Summary!$V$2)+INT(H1305/480))</f>
        <v>43806</v>
      </c>
      <c r="J1305" s="27">
        <f t="shared" si="21"/>
        <v>0.4861111111111111</v>
      </c>
    </row>
    <row r="1306" spans="1:10">
      <c r="A1306" t="str">
        <f>VLOOKUP(Summary!M1305,Summary!$P$13:$Q$24,2)</f>
        <v>B1700-sky</v>
      </c>
      <c r="B1306">
        <f>ROUND(NORMINV(Summary!M1307,VLOOKUP(A1306,Summary!$Q$13:$S$24,3,FALSE),VLOOKUP(A1306,Summary!$Q$13:$S$24,3,FALSE)/6),-1)</f>
        <v>580</v>
      </c>
      <c r="C1306" t="str">
        <f>IF(AND(H1306=0,C1305=Summary!$P$2),Summary!$Q$2,IF(AND(H1306=0,C1305=Summary!$Q$2),Summary!$R$2,C1305))</f>
        <v>Jared</v>
      </c>
      <c r="D1306" t="str">
        <f>IF(C1306=Summary!$P$26,VLOOKUP(Summary!M1313,Summary!$Q$26:$R$27,2),IF('Run Data'!C1306=Summary!$P$28,VLOOKUP(Summary!M1313,Summary!$Q$28:$R$29,2),VLOOKUP(Summary!M1313,Summary!$Q$30:$R$32,2)))</f>
        <v>Sprig 3</v>
      </c>
      <c r="E1306" t="str">
        <f>VLOOKUP(Summary!M1316,Summary!$P$42:$Q$43,2)</f>
        <v>86</v>
      </c>
      <c r="F1306">
        <f>IF(LEFT(A1306,3)="B60",20,IF(LEFT(A1306,3)="B12",30,25))+B1306*0.5+INT(Summary!M1319*20)</f>
        <v>330</v>
      </c>
      <c r="G1306">
        <f>ROUND(IF(OR(ISERROR(FIND(Summary!$P$89,CONCATENATE(C1306,D1306,E1306))),ISERROR(FIND(Summary!$Q$89,A1306))),Summary!$R$45,IF(H1306&gt;Summary!$V$3,Summary!$R$46,Summary!$R$45))*(B1306+30),0)</f>
        <v>73</v>
      </c>
      <c r="H1306">
        <f>IF(H1305&gt;Summary!$V$4,0,H1305+F1305)</f>
        <v>104551</v>
      </c>
      <c r="I1306" s="26">
        <f>DATE(YEAR(Summary!$V$2),MONTH(Summary!$V$2),DAY(Summary!$V$2)+INT(H1306/480))</f>
        <v>43807</v>
      </c>
      <c r="J1306" s="27">
        <f t="shared" si="21"/>
        <v>0.60486111111111118</v>
      </c>
    </row>
    <row r="1307" spans="1:10">
      <c r="A1307" t="str">
        <f>VLOOKUP(Summary!M1306,Summary!$P$13:$Q$24,2)</f>
        <v>B1200-fire</v>
      </c>
      <c r="B1307">
        <f>ROUND(NORMINV(Summary!M1308,VLOOKUP(A1307,Summary!$Q$13:$S$24,3,FALSE),VLOOKUP(A1307,Summary!$Q$13:$S$24,3,FALSE)/6),-1)</f>
        <v>1050</v>
      </c>
      <c r="C1307" t="str">
        <f>IF(AND(H1307=0,C1306=Summary!$P$2),Summary!$Q$2,IF(AND(H1307=0,C1306=Summary!$Q$2),Summary!$R$2,C1306))</f>
        <v>Jared</v>
      </c>
      <c r="D1307" t="str">
        <f>IF(C1307=Summary!$P$26,VLOOKUP(Summary!M1314,Summary!$Q$26:$R$27,2),IF('Run Data'!C1307=Summary!$P$28,VLOOKUP(Summary!M1314,Summary!$Q$28:$R$29,2),VLOOKUP(Summary!M1314,Summary!$Q$30:$R$32,2)))</f>
        <v>Sprig 2</v>
      </c>
      <c r="E1307" t="str">
        <f>VLOOKUP(Summary!M1317,Summary!$P$42:$Q$43,2)</f>
        <v>86</v>
      </c>
      <c r="F1307">
        <f>IF(LEFT(A1307,3)="B60",20,IF(LEFT(A1307,3)="B12",30,25))+B1307*0.5+INT(Summary!M1320*20)</f>
        <v>571</v>
      </c>
      <c r="G1307">
        <f>ROUND(IF(OR(ISERROR(FIND(Summary!$P$89,CONCATENATE(C1307,D1307,E1307))),ISERROR(FIND(Summary!$Q$89,A1307))),Summary!$R$45,IF(H1307&gt;Summary!$V$3,Summary!$R$46,Summary!$R$45))*(B1307+30),0)</f>
        <v>11</v>
      </c>
      <c r="H1307">
        <f>IF(H1306&gt;Summary!$V$4,0,H1306+F1306)</f>
        <v>104881</v>
      </c>
      <c r="I1307" s="26">
        <f>DATE(YEAR(Summary!$V$2),MONTH(Summary!$V$2),DAY(Summary!$V$2)+INT(H1307/480))</f>
        <v>43808</v>
      </c>
      <c r="J1307" s="27">
        <f t="shared" si="21"/>
        <v>0.50069444444444444</v>
      </c>
    </row>
    <row r="1308" spans="1:10">
      <c r="A1308" t="str">
        <f>VLOOKUP(Summary!M1307,Summary!$P$13:$Q$24,2)</f>
        <v>B1200-lime</v>
      </c>
      <c r="B1308">
        <f>ROUND(NORMINV(Summary!M1309,VLOOKUP(A1308,Summary!$Q$13:$S$24,3,FALSE),VLOOKUP(A1308,Summary!$Q$13:$S$24,3,FALSE)/6),-1)</f>
        <v>810</v>
      </c>
      <c r="C1308" t="str">
        <f>IF(AND(H1308=0,C1307=Summary!$P$2),Summary!$Q$2,IF(AND(H1308=0,C1307=Summary!$Q$2),Summary!$R$2,C1307))</f>
        <v>Jared</v>
      </c>
      <c r="D1308" t="str">
        <f>IF(C1308=Summary!$P$26,VLOOKUP(Summary!M1315,Summary!$Q$26:$R$27,2),IF('Run Data'!C1308=Summary!$P$28,VLOOKUP(Summary!M1315,Summary!$Q$28:$R$29,2),VLOOKUP(Summary!M1315,Summary!$Q$30:$R$32,2)))</f>
        <v>Sprig 3</v>
      </c>
      <c r="E1308" t="str">
        <f>VLOOKUP(Summary!M1318,Summary!$P$42:$Q$43,2)</f>
        <v>86</v>
      </c>
      <c r="F1308">
        <f>IF(LEFT(A1308,3)="B60",20,IF(LEFT(A1308,3)="B12",30,25))+B1308*0.5+INT(Summary!M1321*20)</f>
        <v>451</v>
      </c>
      <c r="G1308">
        <f>ROUND(IF(OR(ISERROR(FIND(Summary!$P$89,CONCATENATE(C1308,D1308,E1308))),ISERROR(FIND(Summary!$Q$89,A1308))),Summary!$R$45,IF(H1308&gt;Summary!$V$3,Summary!$R$46,Summary!$R$45))*(B1308+30),0)</f>
        <v>8</v>
      </c>
      <c r="H1308">
        <f>IF(H1307&gt;Summary!$V$4,0,H1307+F1307)</f>
        <v>105452</v>
      </c>
      <c r="I1308" s="26">
        <f>DATE(YEAR(Summary!$V$2),MONTH(Summary!$V$2),DAY(Summary!$V$2)+INT(H1308/480))</f>
        <v>43809</v>
      </c>
      <c r="J1308" s="27">
        <f t="shared" si="21"/>
        <v>0.56388888888888888</v>
      </c>
    </row>
    <row r="1309" spans="1:10">
      <c r="A1309" t="str">
        <f>VLOOKUP(Summary!M1308,Summary!$P$13:$Q$24,2)</f>
        <v>B1200-plum</v>
      </c>
      <c r="B1309">
        <f>ROUND(NORMINV(Summary!M1310,VLOOKUP(A1309,Summary!$Q$13:$S$24,3,FALSE),VLOOKUP(A1309,Summary!$Q$13:$S$24,3,FALSE)/6),-1)</f>
        <v>560</v>
      </c>
      <c r="C1309" t="str">
        <f>IF(AND(H1309=0,C1308=Summary!$P$2),Summary!$Q$2,IF(AND(H1309=0,C1308=Summary!$Q$2),Summary!$R$2,C1308))</f>
        <v>Jared</v>
      </c>
      <c r="D1309" t="str">
        <f>IF(C1309=Summary!$P$26,VLOOKUP(Summary!M1316,Summary!$Q$26:$R$27,2),IF('Run Data'!C1309=Summary!$P$28,VLOOKUP(Summary!M1316,Summary!$Q$28:$R$29,2),VLOOKUP(Summary!M1316,Summary!$Q$30:$R$32,2)))</f>
        <v>Sprig 2</v>
      </c>
      <c r="E1309" t="str">
        <f>VLOOKUP(Summary!M1319,Summary!$P$42:$Q$43,2)</f>
        <v>86</v>
      </c>
      <c r="F1309">
        <f>IF(LEFT(A1309,3)="B60",20,IF(LEFT(A1309,3)="B12",30,25))+B1309*0.5+INT(Summary!M1322*20)</f>
        <v>328</v>
      </c>
      <c r="G1309">
        <f>ROUND(IF(OR(ISERROR(FIND(Summary!$P$89,CONCATENATE(C1309,D1309,E1309))),ISERROR(FIND(Summary!$Q$89,A1309))),Summary!$R$45,IF(H1309&gt;Summary!$V$3,Summary!$R$46,Summary!$R$45))*(B1309+30),0)</f>
        <v>6</v>
      </c>
      <c r="H1309">
        <f>IF(H1308&gt;Summary!$V$4,0,H1308+F1308)</f>
        <v>105903</v>
      </c>
      <c r="I1309" s="26">
        <f>DATE(YEAR(Summary!$V$2),MONTH(Summary!$V$2),DAY(Summary!$V$2)+INT(H1309/480))</f>
        <v>43810</v>
      </c>
      <c r="J1309" s="27">
        <f t="shared" si="21"/>
        <v>0.54375000000000007</v>
      </c>
    </row>
    <row r="1310" spans="1:10">
      <c r="A1310" t="str">
        <f>VLOOKUP(Summary!M1309,Summary!$P$13:$Q$24,2)</f>
        <v>B1200-fire</v>
      </c>
      <c r="B1310">
        <f>ROUND(NORMINV(Summary!M1311,VLOOKUP(A1310,Summary!$Q$13:$S$24,3,FALSE),VLOOKUP(A1310,Summary!$Q$13:$S$24,3,FALSE)/6),-1)</f>
        <v>1030</v>
      </c>
      <c r="C1310" t="str">
        <f>IF(AND(H1310=0,C1309=Summary!$P$2),Summary!$Q$2,IF(AND(H1310=0,C1309=Summary!$Q$2),Summary!$R$2,C1309))</f>
        <v>Jared</v>
      </c>
      <c r="D1310" t="str">
        <f>IF(C1310=Summary!$P$26,VLOOKUP(Summary!M1317,Summary!$Q$26:$R$27,2),IF('Run Data'!C1310=Summary!$P$28,VLOOKUP(Summary!M1317,Summary!$Q$28:$R$29,2),VLOOKUP(Summary!M1317,Summary!$Q$30:$R$32,2)))</f>
        <v>Sprig 3</v>
      </c>
      <c r="E1310" t="str">
        <f>VLOOKUP(Summary!M1320,Summary!$P$42:$Q$43,2)</f>
        <v>86</v>
      </c>
      <c r="F1310">
        <f>IF(LEFT(A1310,3)="B60",20,IF(LEFT(A1310,3)="B12",30,25))+B1310*0.5+INT(Summary!M1323*20)</f>
        <v>563</v>
      </c>
      <c r="G1310">
        <f>ROUND(IF(OR(ISERROR(FIND(Summary!$P$89,CONCATENATE(C1310,D1310,E1310))),ISERROR(FIND(Summary!$Q$89,A1310))),Summary!$R$45,IF(H1310&gt;Summary!$V$3,Summary!$R$46,Summary!$R$45))*(B1310+30),0)</f>
        <v>11</v>
      </c>
      <c r="H1310">
        <f>IF(H1309&gt;Summary!$V$4,0,H1309+F1309)</f>
        <v>106231</v>
      </c>
      <c r="I1310" s="26">
        <f>DATE(YEAR(Summary!$V$2),MONTH(Summary!$V$2),DAY(Summary!$V$2)+INT(H1310/480))</f>
        <v>43811</v>
      </c>
      <c r="J1310" s="27">
        <f t="shared" si="21"/>
        <v>0.4381944444444445</v>
      </c>
    </row>
    <row r="1311" spans="1:10">
      <c r="A1311" t="str">
        <f>VLOOKUP(Summary!M1310,Summary!$P$13:$Q$24,2)</f>
        <v>B1700-lime</v>
      </c>
      <c r="B1311">
        <f>ROUND(NORMINV(Summary!M1312,VLOOKUP(A1311,Summary!$Q$13:$S$24,3,FALSE),VLOOKUP(A1311,Summary!$Q$13:$S$24,3,FALSE)/6),-1)</f>
        <v>360</v>
      </c>
      <c r="C1311" t="str">
        <f>IF(AND(H1311=0,C1310=Summary!$P$2),Summary!$Q$2,IF(AND(H1311=0,C1310=Summary!$Q$2),Summary!$R$2,C1310))</f>
        <v>Jared</v>
      </c>
      <c r="D1311" t="str">
        <f>IF(C1311=Summary!$P$26,VLOOKUP(Summary!M1318,Summary!$Q$26:$R$27,2),IF('Run Data'!C1311=Summary!$P$28,VLOOKUP(Summary!M1318,Summary!$Q$28:$R$29,2),VLOOKUP(Summary!M1318,Summary!$Q$30:$R$32,2)))</f>
        <v>Sprig 2</v>
      </c>
      <c r="E1311" t="str">
        <f>VLOOKUP(Summary!M1321,Summary!$P$42:$Q$43,2)</f>
        <v>86</v>
      </c>
      <c r="F1311">
        <f>IF(LEFT(A1311,3)="B60",20,IF(LEFT(A1311,3)="B12",30,25))+B1311*0.5+INT(Summary!M1324*20)</f>
        <v>223</v>
      </c>
      <c r="G1311">
        <f>ROUND(IF(OR(ISERROR(FIND(Summary!$P$89,CONCATENATE(C1311,D1311,E1311))),ISERROR(FIND(Summary!$Q$89,A1311))),Summary!$R$45,IF(H1311&gt;Summary!$V$3,Summary!$R$46,Summary!$R$45))*(B1311+30),0)</f>
        <v>47</v>
      </c>
      <c r="H1311">
        <f>IF(H1310&gt;Summary!$V$4,0,H1310+F1310)</f>
        <v>106794</v>
      </c>
      <c r="I1311" s="26">
        <f>DATE(YEAR(Summary!$V$2),MONTH(Summary!$V$2),DAY(Summary!$V$2)+INT(H1311/480))</f>
        <v>43812</v>
      </c>
      <c r="J1311" s="27">
        <f t="shared" si="21"/>
        <v>0.49583333333333335</v>
      </c>
    </row>
    <row r="1312" spans="1:10">
      <c r="A1312" t="str">
        <f>VLOOKUP(Summary!M1311,Summary!$P$13:$Q$24,2)</f>
        <v>B600-lime</v>
      </c>
      <c r="B1312">
        <f>ROUND(NORMINV(Summary!M1313,VLOOKUP(A1312,Summary!$Q$13:$S$24,3,FALSE),VLOOKUP(A1312,Summary!$Q$13:$S$24,3,FALSE)/6),-1)</f>
        <v>320</v>
      </c>
      <c r="C1312" t="str">
        <f>IF(AND(H1312=0,C1311=Summary!$P$2),Summary!$Q$2,IF(AND(H1312=0,C1311=Summary!$Q$2),Summary!$R$2,C1311))</f>
        <v>Jared</v>
      </c>
      <c r="D1312" t="str">
        <f>IF(C1312=Summary!$P$26,VLOOKUP(Summary!M1319,Summary!$Q$26:$R$27,2),IF('Run Data'!C1312=Summary!$P$28,VLOOKUP(Summary!M1319,Summary!$Q$28:$R$29,2),VLOOKUP(Summary!M1319,Summary!$Q$30:$R$32,2)))</f>
        <v>Sprig 3</v>
      </c>
      <c r="E1312" t="str">
        <f>VLOOKUP(Summary!M1322,Summary!$P$42:$Q$43,2)</f>
        <v>87b</v>
      </c>
      <c r="F1312">
        <f>IF(LEFT(A1312,3)="B60",20,IF(LEFT(A1312,3)="B12",30,25))+B1312*0.5+INT(Summary!M1325*20)</f>
        <v>191</v>
      </c>
      <c r="G1312">
        <f>ROUND(IF(OR(ISERROR(FIND(Summary!$P$89,CONCATENATE(C1312,D1312,E1312))),ISERROR(FIND(Summary!$Q$89,A1312))),Summary!$R$45,IF(H1312&gt;Summary!$V$3,Summary!$R$46,Summary!$R$45))*(B1312+30),0)</f>
        <v>4</v>
      </c>
      <c r="H1312">
        <f>IF(H1311&gt;Summary!$V$4,0,H1311+F1311)</f>
        <v>107017</v>
      </c>
      <c r="I1312" s="26">
        <f>DATE(YEAR(Summary!$V$2),MONTH(Summary!$V$2),DAY(Summary!$V$2)+INT(H1312/480))</f>
        <v>43812</v>
      </c>
      <c r="J1312" s="27">
        <f t="shared" si="21"/>
        <v>0.65069444444444446</v>
      </c>
    </row>
    <row r="1313" spans="1:10">
      <c r="A1313" t="str">
        <f>VLOOKUP(Summary!M1312,Summary!$P$13:$Q$24,2)</f>
        <v>B1200-plum</v>
      </c>
      <c r="B1313">
        <f>ROUND(NORMINV(Summary!M1314,VLOOKUP(A1313,Summary!$Q$13:$S$24,3,FALSE),VLOOKUP(A1313,Summary!$Q$13:$S$24,3,FALSE)/6),-1)</f>
        <v>410</v>
      </c>
      <c r="C1313" t="str">
        <f>IF(AND(H1313=0,C1312=Summary!$P$2),Summary!$Q$2,IF(AND(H1313=0,C1312=Summary!$Q$2),Summary!$R$2,C1312))</f>
        <v>Jared</v>
      </c>
      <c r="D1313" t="str">
        <f>IF(C1313=Summary!$P$26,VLOOKUP(Summary!M1320,Summary!$Q$26:$R$27,2),IF('Run Data'!C1313=Summary!$P$28,VLOOKUP(Summary!M1320,Summary!$Q$28:$R$29,2),VLOOKUP(Summary!M1320,Summary!$Q$30:$R$32,2)))</f>
        <v>Sprig 3</v>
      </c>
      <c r="E1313" t="str">
        <f>VLOOKUP(Summary!M1323,Summary!$P$42:$Q$43,2)</f>
        <v>87b</v>
      </c>
      <c r="F1313">
        <f>IF(LEFT(A1313,3)="B60",20,IF(LEFT(A1313,3)="B12",30,25))+B1313*0.5+INT(Summary!M1326*20)</f>
        <v>253</v>
      </c>
      <c r="G1313">
        <f>ROUND(IF(OR(ISERROR(FIND(Summary!$P$89,CONCATENATE(C1313,D1313,E1313))),ISERROR(FIND(Summary!$Q$89,A1313))),Summary!$R$45,IF(H1313&gt;Summary!$V$3,Summary!$R$46,Summary!$R$45))*(B1313+30),0)</f>
        <v>4</v>
      </c>
      <c r="H1313">
        <f>IF(H1312&gt;Summary!$V$4,0,H1312+F1312)</f>
        <v>107208</v>
      </c>
      <c r="I1313" s="26">
        <f>DATE(YEAR(Summary!$V$2),MONTH(Summary!$V$2),DAY(Summary!$V$2)+INT(H1313/480))</f>
        <v>43813</v>
      </c>
      <c r="J1313" s="27">
        <f t="shared" si="21"/>
        <v>0.45</v>
      </c>
    </row>
    <row r="1314" spans="1:10">
      <c r="A1314" t="str">
        <f>VLOOKUP(Summary!M1313,Summary!$P$13:$Q$24,2)</f>
        <v>B1200-lime</v>
      </c>
      <c r="B1314">
        <f>ROUND(NORMINV(Summary!M1315,VLOOKUP(A1314,Summary!$Q$13:$S$24,3,FALSE),VLOOKUP(A1314,Summary!$Q$13:$S$24,3,FALSE)/6),-1)</f>
        <v>840</v>
      </c>
      <c r="C1314" t="str">
        <f>IF(AND(H1314=0,C1313=Summary!$P$2),Summary!$Q$2,IF(AND(H1314=0,C1313=Summary!$Q$2),Summary!$R$2,C1313))</f>
        <v>Jared</v>
      </c>
      <c r="D1314" t="str">
        <f>IF(C1314=Summary!$P$26,VLOOKUP(Summary!M1321,Summary!$Q$26:$R$27,2),IF('Run Data'!C1314=Summary!$P$28,VLOOKUP(Summary!M1321,Summary!$Q$28:$R$29,2),VLOOKUP(Summary!M1321,Summary!$Q$30:$R$32,2)))</f>
        <v>Sprig 3</v>
      </c>
      <c r="E1314" t="str">
        <f>VLOOKUP(Summary!M1324,Summary!$P$42:$Q$43,2)</f>
        <v>87b</v>
      </c>
      <c r="F1314">
        <f>IF(LEFT(A1314,3)="B60",20,IF(LEFT(A1314,3)="B12",30,25))+B1314*0.5+INT(Summary!M1327*20)</f>
        <v>450</v>
      </c>
      <c r="G1314">
        <f>ROUND(IF(OR(ISERROR(FIND(Summary!$P$89,CONCATENATE(C1314,D1314,E1314))),ISERROR(FIND(Summary!$Q$89,A1314))),Summary!$R$45,IF(H1314&gt;Summary!$V$3,Summary!$R$46,Summary!$R$45))*(B1314+30),0)</f>
        <v>9</v>
      </c>
      <c r="H1314">
        <f>IF(H1313&gt;Summary!$V$4,0,H1313+F1313)</f>
        <v>107461</v>
      </c>
      <c r="I1314" s="26">
        <f>DATE(YEAR(Summary!$V$2),MONTH(Summary!$V$2),DAY(Summary!$V$2)+INT(H1314/480))</f>
        <v>43813</v>
      </c>
      <c r="J1314" s="27">
        <f t="shared" si="21"/>
        <v>0.62569444444444444</v>
      </c>
    </row>
    <row r="1315" spans="1:10">
      <c r="A1315" t="str">
        <f>VLOOKUP(Summary!M1314,Summary!$P$13:$Q$24,2)</f>
        <v>B1200-plum</v>
      </c>
      <c r="B1315">
        <f>ROUND(NORMINV(Summary!M1316,VLOOKUP(A1315,Summary!$Q$13:$S$24,3,FALSE),VLOOKUP(A1315,Summary!$Q$13:$S$24,3,FALSE)/6),-1)</f>
        <v>470</v>
      </c>
      <c r="C1315" t="str">
        <f>IF(AND(H1315=0,C1314=Summary!$P$2),Summary!$Q$2,IF(AND(H1315=0,C1314=Summary!$Q$2),Summary!$R$2,C1314))</f>
        <v>Jared</v>
      </c>
      <c r="D1315" t="str">
        <f>IF(C1315=Summary!$P$26,VLOOKUP(Summary!M1322,Summary!$Q$26:$R$27,2),IF('Run Data'!C1315=Summary!$P$28,VLOOKUP(Summary!M1322,Summary!$Q$28:$R$29,2),VLOOKUP(Summary!M1322,Summary!$Q$30:$R$32,2)))</f>
        <v>Sprig 3</v>
      </c>
      <c r="E1315" t="str">
        <f>VLOOKUP(Summary!M1325,Summary!$P$42:$Q$43,2)</f>
        <v>86</v>
      </c>
      <c r="F1315">
        <f>IF(LEFT(A1315,3)="B60",20,IF(LEFT(A1315,3)="B12",30,25))+B1315*0.5+INT(Summary!M1328*20)</f>
        <v>265</v>
      </c>
      <c r="G1315">
        <f>ROUND(IF(OR(ISERROR(FIND(Summary!$P$89,CONCATENATE(C1315,D1315,E1315))),ISERROR(FIND(Summary!$Q$89,A1315))),Summary!$R$45,IF(H1315&gt;Summary!$V$3,Summary!$R$46,Summary!$R$45))*(B1315+30),0)</f>
        <v>5</v>
      </c>
      <c r="H1315">
        <f>IF(H1314&gt;Summary!$V$4,0,H1314+F1314)</f>
        <v>107911</v>
      </c>
      <c r="I1315" s="26">
        <f>DATE(YEAR(Summary!$V$2),MONTH(Summary!$V$2),DAY(Summary!$V$2)+INT(H1315/480))</f>
        <v>43814</v>
      </c>
      <c r="J1315" s="27">
        <f t="shared" si="21"/>
        <v>0.60486111111111118</v>
      </c>
    </row>
    <row r="1316" spans="1:10">
      <c r="A1316" t="str">
        <f>VLOOKUP(Summary!M1315,Summary!$P$13:$Q$24,2)</f>
        <v>B1200-lime</v>
      </c>
      <c r="B1316">
        <f>ROUND(NORMINV(Summary!M1317,VLOOKUP(A1316,Summary!$Q$13:$S$24,3,FALSE),VLOOKUP(A1316,Summary!$Q$13:$S$24,3,FALSE)/6),-1)</f>
        <v>860</v>
      </c>
      <c r="C1316" t="str">
        <f>IF(AND(H1316=0,C1315=Summary!$P$2),Summary!$Q$2,IF(AND(H1316=0,C1315=Summary!$Q$2),Summary!$R$2,C1315))</f>
        <v>Jared</v>
      </c>
      <c r="D1316" t="str">
        <f>IF(C1316=Summary!$P$26,VLOOKUP(Summary!M1323,Summary!$Q$26:$R$27,2),IF('Run Data'!C1316=Summary!$P$28,VLOOKUP(Summary!M1323,Summary!$Q$28:$R$29,2),VLOOKUP(Summary!M1323,Summary!$Q$30:$R$32,2)))</f>
        <v>Sprig 3</v>
      </c>
      <c r="E1316" t="str">
        <f>VLOOKUP(Summary!M1326,Summary!$P$42:$Q$43,2)</f>
        <v>87b</v>
      </c>
      <c r="F1316">
        <f>IF(LEFT(A1316,3)="B60",20,IF(LEFT(A1316,3)="B12",30,25))+B1316*0.5+INT(Summary!M1329*20)</f>
        <v>470</v>
      </c>
      <c r="G1316">
        <f>ROUND(IF(OR(ISERROR(FIND(Summary!$P$89,CONCATENATE(C1316,D1316,E1316))),ISERROR(FIND(Summary!$Q$89,A1316))),Summary!$R$45,IF(H1316&gt;Summary!$V$3,Summary!$R$46,Summary!$R$45))*(B1316+30),0)</f>
        <v>9</v>
      </c>
      <c r="H1316">
        <f>IF(H1315&gt;Summary!$V$4,0,H1315+F1315)</f>
        <v>108176</v>
      </c>
      <c r="I1316" s="26">
        <f>DATE(YEAR(Summary!$V$2),MONTH(Summary!$V$2),DAY(Summary!$V$2)+INT(H1316/480))</f>
        <v>43815</v>
      </c>
      <c r="J1316" s="27">
        <f t="shared" si="21"/>
        <v>0.45555555555555555</v>
      </c>
    </row>
    <row r="1317" spans="1:10">
      <c r="A1317" t="str">
        <f>VLOOKUP(Summary!M1316,Summary!$P$13:$Q$24,2)</f>
        <v>B1200-lime</v>
      </c>
      <c r="B1317">
        <f>ROUND(NORMINV(Summary!M1318,VLOOKUP(A1317,Summary!$Q$13:$S$24,3,FALSE),VLOOKUP(A1317,Summary!$Q$13:$S$24,3,FALSE)/6),-1)</f>
        <v>830</v>
      </c>
      <c r="C1317" t="str">
        <f>IF(AND(H1317=0,C1316=Summary!$P$2),Summary!$Q$2,IF(AND(H1317=0,C1316=Summary!$Q$2),Summary!$R$2,C1316))</f>
        <v>Jared</v>
      </c>
      <c r="D1317" t="str">
        <f>IF(C1317=Summary!$P$26,VLOOKUP(Summary!M1324,Summary!$Q$26:$R$27,2),IF('Run Data'!C1317=Summary!$P$28,VLOOKUP(Summary!M1324,Summary!$Q$28:$R$29,2),VLOOKUP(Summary!M1324,Summary!$Q$30:$R$32,2)))</f>
        <v>Sprig 3</v>
      </c>
      <c r="E1317" t="str">
        <f>VLOOKUP(Summary!M1327,Summary!$P$42:$Q$43,2)</f>
        <v>86</v>
      </c>
      <c r="F1317">
        <f>IF(LEFT(A1317,3)="B60",20,IF(LEFT(A1317,3)="B12",30,25))+B1317*0.5+INT(Summary!M1330*20)</f>
        <v>448</v>
      </c>
      <c r="G1317">
        <f>ROUND(IF(OR(ISERROR(FIND(Summary!$P$89,CONCATENATE(C1317,D1317,E1317))),ISERROR(FIND(Summary!$Q$89,A1317))),Summary!$R$45,IF(H1317&gt;Summary!$V$3,Summary!$R$46,Summary!$R$45))*(B1317+30),0)</f>
        <v>9</v>
      </c>
      <c r="H1317">
        <f>IF(H1316&gt;Summary!$V$4,0,H1316+F1316)</f>
        <v>108646</v>
      </c>
      <c r="I1317" s="26">
        <f>DATE(YEAR(Summary!$V$2),MONTH(Summary!$V$2),DAY(Summary!$V$2)+INT(H1317/480))</f>
        <v>43816</v>
      </c>
      <c r="J1317" s="27">
        <f t="shared" si="21"/>
        <v>0.44861111111111113</v>
      </c>
    </row>
    <row r="1318" spans="1:10">
      <c r="A1318" t="str">
        <f>VLOOKUP(Summary!M1317,Summary!$P$13:$Q$24,2)</f>
        <v>B1200-lime</v>
      </c>
      <c r="B1318">
        <f>ROUND(NORMINV(Summary!M1319,VLOOKUP(A1318,Summary!$Q$13:$S$24,3,FALSE),VLOOKUP(A1318,Summary!$Q$13:$S$24,3,FALSE)/6),-1)</f>
        <v>890</v>
      </c>
      <c r="C1318" t="str">
        <f>IF(AND(H1318=0,C1317=Summary!$P$2),Summary!$Q$2,IF(AND(H1318=0,C1317=Summary!$Q$2),Summary!$R$2,C1317))</f>
        <v>Jared</v>
      </c>
      <c r="D1318" t="str">
        <f>IF(C1318=Summary!$P$26,VLOOKUP(Summary!M1325,Summary!$Q$26:$R$27,2),IF('Run Data'!C1318=Summary!$P$28,VLOOKUP(Summary!M1325,Summary!$Q$28:$R$29,2),VLOOKUP(Summary!M1325,Summary!$Q$30:$R$32,2)))</f>
        <v>Sprig 2</v>
      </c>
      <c r="E1318" t="str">
        <f>VLOOKUP(Summary!M1328,Summary!$P$42:$Q$43,2)</f>
        <v>86</v>
      </c>
      <c r="F1318">
        <f>IF(LEFT(A1318,3)="B60",20,IF(LEFT(A1318,3)="B12",30,25))+B1318*0.5+INT(Summary!M1331*20)</f>
        <v>477</v>
      </c>
      <c r="G1318">
        <f>ROUND(IF(OR(ISERROR(FIND(Summary!$P$89,CONCATENATE(C1318,D1318,E1318))),ISERROR(FIND(Summary!$Q$89,A1318))),Summary!$R$45,IF(H1318&gt;Summary!$V$3,Summary!$R$46,Summary!$R$45))*(B1318+30),0)</f>
        <v>9</v>
      </c>
      <c r="H1318">
        <f>IF(H1317&gt;Summary!$V$4,0,H1317+F1317)</f>
        <v>109094</v>
      </c>
      <c r="I1318" s="26">
        <f>DATE(YEAR(Summary!$V$2),MONTH(Summary!$V$2),DAY(Summary!$V$2)+INT(H1318/480))</f>
        <v>43817</v>
      </c>
      <c r="J1318" s="27">
        <f t="shared" si="21"/>
        <v>0.42638888888888887</v>
      </c>
    </row>
    <row r="1319" spans="1:10">
      <c r="A1319" t="str">
        <f>VLOOKUP(Summary!M1318,Summary!$P$13:$Q$24,2)</f>
        <v>B1200-lime</v>
      </c>
      <c r="B1319">
        <f>ROUND(NORMINV(Summary!M1320,VLOOKUP(A1319,Summary!$Q$13:$S$24,3,FALSE),VLOOKUP(A1319,Summary!$Q$13:$S$24,3,FALSE)/6),-1)</f>
        <v>910</v>
      </c>
      <c r="C1319" t="str">
        <f>IF(AND(H1319=0,C1318=Summary!$P$2),Summary!$Q$2,IF(AND(H1319=0,C1318=Summary!$Q$2),Summary!$R$2,C1318))</f>
        <v>Jared</v>
      </c>
      <c r="D1319" t="str">
        <f>IF(C1319=Summary!$P$26,VLOOKUP(Summary!M1326,Summary!$Q$26:$R$27,2),IF('Run Data'!C1319=Summary!$P$28,VLOOKUP(Summary!M1326,Summary!$Q$28:$R$29,2),VLOOKUP(Summary!M1326,Summary!$Q$30:$R$32,2)))</f>
        <v>Sprig 3</v>
      </c>
      <c r="E1319" t="str">
        <f>VLOOKUP(Summary!M1329,Summary!$P$42:$Q$43,2)</f>
        <v>86</v>
      </c>
      <c r="F1319">
        <f>IF(LEFT(A1319,3)="B60",20,IF(LEFT(A1319,3)="B12",30,25))+B1319*0.5+INT(Summary!M1332*20)</f>
        <v>493</v>
      </c>
      <c r="G1319">
        <f>ROUND(IF(OR(ISERROR(FIND(Summary!$P$89,CONCATENATE(C1319,D1319,E1319))),ISERROR(FIND(Summary!$Q$89,A1319))),Summary!$R$45,IF(H1319&gt;Summary!$V$3,Summary!$R$46,Summary!$R$45))*(B1319+30),0)</f>
        <v>9</v>
      </c>
      <c r="H1319">
        <f>IF(H1318&gt;Summary!$V$4,0,H1318+F1318)</f>
        <v>109571</v>
      </c>
      <c r="I1319" s="26">
        <f>DATE(YEAR(Summary!$V$2),MONTH(Summary!$V$2),DAY(Summary!$V$2)+INT(H1319/480))</f>
        <v>43818</v>
      </c>
      <c r="J1319" s="27">
        <f t="shared" si="21"/>
        <v>0.42430555555555555</v>
      </c>
    </row>
    <row r="1320" spans="1:10">
      <c r="A1320" t="str">
        <f>VLOOKUP(Summary!M1319,Summary!$P$13:$Q$24,2)</f>
        <v>B1700-plum</v>
      </c>
      <c r="B1320">
        <f>ROUND(NORMINV(Summary!M1321,VLOOKUP(A1320,Summary!$Q$13:$S$24,3,FALSE),VLOOKUP(A1320,Summary!$Q$13:$S$24,3,FALSE)/6),-1)</f>
        <v>350</v>
      </c>
      <c r="C1320" t="str">
        <f>IF(AND(H1320=0,C1319=Summary!$P$2),Summary!$Q$2,IF(AND(H1320=0,C1319=Summary!$Q$2),Summary!$R$2,C1319))</f>
        <v>Jared</v>
      </c>
      <c r="D1320" t="str">
        <f>IF(C1320=Summary!$P$26,VLOOKUP(Summary!M1327,Summary!$Q$26:$R$27,2),IF('Run Data'!C1320=Summary!$P$28,VLOOKUP(Summary!M1327,Summary!$Q$28:$R$29,2),VLOOKUP(Summary!M1327,Summary!$Q$30:$R$32,2)))</f>
        <v>Sprig 1</v>
      </c>
      <c r="E1320" t="str">
        <f>VLOOKUP(Summary!M1330,Summary!$P$42:$Q$43,2)</f>
        <v>86</v>
      </c>
      <c r="F1320">
        <f>IF(LEFT(A1320,3)="B60",20,IF(LEFT(A1320,3)="B12",30,25))+B1320*0.5+INT(Summary!M1333*20)</f>
        <v>201</v>
      </c>
      <c r="G1320">
        <f>ROUND(IF(OR(ISERROR(FIND(Summary!$P$89,CONCATENATE(C1320,D1320,E1320))),ISERROR(FIND(Summary!$Q$89,A1320))),Summary!$R$45,IF(H1320&gt;Summary!$V$3,Summary!$R$46,Summary!$R$45))*(B1320+30),0)</f>
        <v>46</v>
      </c>
      <c r="H1320">
        <f>IF(H1319&gt;Summary!$V$4,0,H1319+F1319)</f>
        <v>110064</v>
      </c>
      <c r="I1320" s="26">
        <f>DATE(YEAR(Summary!$V$2),MONTH(Summary!$V$2),DAY(Summary!$V$2)+INT(H1320/480))</f>
        <v>43819</v>
      </c>
      <c r="J1320" s="27">
        <f t="shared" si="21"/>
        <v>0.43333333333333335</v>
      </c>
    </row>
    <row r="1321" spans="1:10">
      <c r="A1321" t="str">
        <f>VLOOKUP(Summary!M1320,Summary!$P$13:$Q$24,2)</f>
        <v>B1700-sky</v>
      </c>
      <c r="B1321">
        <f>ROUND(NORMINV(Summary!M1322,VLOOKUP(A1321,Summary!$Q$13:$S$24,3,FALSE),VLOOKUP(A1321,Summary!$Q$13:$S$24,3,FALSE)/6),-1)</f>
        <v>690</v>
      </c>
      <c r="C1321" t="str">
        <f>IF(AND(H1321=0,C1320=Summary!$P$2),Summary!$Q$2,IF(AND(H1321=0,C1320=Summary!$Q$2),Summary!$R$2,C1320))</f>
        <v>Jared</v>
      </c>
      <c r="D1321" t="str">
        <f>IF(C1321=Summary!$P$26,VLOOKUP(Summary!M1328,Summary!$Q$26:$R$27,2),IF('Run Data'!C1321=Summary!$P$28,VLOOKUP(Summary!M1328,Summary!$Q$28:$R$29,2),VLOOKUP(Summary!M1328,Summary!$Q$30:$R$32,2)))</f>
        <v>Sprig 1</v>
      </c>
      <c r="E1321" t="str">
        <f>VLOOKUP(Summary!M1331,Summary!$P$42:$Q$43,2)</f>
        <v>86</v>
      </c>
      <c r="F1321">
        <f>IF(LEFT(A1321,3)="B60",20,IF(LEFT(A1321,3)="B12",30,25))+B1321*0.5+INT(Summary!M1334*20)</f>
        <v>372</v>
      </c>
      <c r="G1321">
        <f>ROUND(IF(OR(ISERROR(FIND(Summary!$P$89,CONCATENATE(C1321,D1321,E1321))),ISERROR(FIND(Summary!$Q$89,A1321))),Summary!$R$45,IF(H1321&gt;Summary!$V$3,Summary!$R$46,Summary!$R$45))*(B1321+30),0)</f>
        <v>86</v>
      </c>
      <c r="H1321">
        <f>IF(H1320&gt;Summary!$V$4,0,H1320+F1320)</f>
        <v>110265</v>
      </c>
      <c r="I1321" s="26">
        <f>DATE(YEAR(Summary!$V$2),MONTH(Summary!$V$2),DAY(Summary!$V$2)+INT(H1321/480))</f>
        <v>43819</v>
      </c>
      <c r="J1321" s="27">
        <f t="shared" si="21"/>
        <v>0.57291666666666663</v>
      </c>
    </row>
    <row r="1322" spans="1:10">
      <c r="A1322" t="str">
        <f>VLOOKUP(Summary!M1321,Summary!$P$13:$Q$24,2)</f>
        <v>B1700-sky</v>
      </c>
      <c r="B1322">
        <f>ROUND(NORMINV(Summary!M1323,VLOOKUP(A1322,Summary!$Q$13:$S$24,3,FALSE),VLOOKUP(A1322,Summary!$Q$13:$S$24,3,FALSE)/6),-1)</f>
        <v>690</v>
      </c>
      <c r="C1322" t="str">
        <f>IF(AND(H1322=0,C1321=Summary!$P$2),Summary!$Q$2,IF(AND(H1322=0,C1321=Summary!$Q$2),Summary!$R$2,C1321))</f>
        <v>Jared</v>
      </c>
      <c r="D1322" t="str">
        <f>IF(C1322=Summary!$P$26,VLOOKUP(Summary!M1329,Summary!$Q$26:$R$27,2),IF('Run Data'!C1322=Summary!$P$28,VLOOKUP(Summary!M1329,Summary!$Q$28:$R$29,2),VLOOKUP(Summary!M1329,Summary!$Q$30:$R$32,2)))</f>
        <v>Sprig 2</v>
      </c>
      <c r="E1322" t="str">
        <f>VLOOKUP(Summary!M1332,Summary!$P$42:$Q$43,2)</f>
        <v>86</v>
      </c>
      <c r="F1322">
        <f>IF(LEFT(A1322,3)="B60",20,IF(LEFT(A1322,3)="B12",30,25))+B1322*0.5+INT(Summary!M1335*20)</f>
        <v>375</v>
      </c>
      <c r="G1322">
        <f>ROUND(IF(OR(ISERROR(FIND(Summary!$P$89,CONCATENATE(C1322,D1322,E1322))),ISERROR(FIND(Summary!$Q$89,A1322))),Summary!$R$45,IF(H1322&gt;Summary!$V$3,Summary!$R$46,Summary!$R$45))*(B1322+30),0)</f>
        <v>86</v>
      </c>
      <c r="H1322">
        <f>IF(H1321&gt;Summary!$V$4,0,H1321+F1321)</f>
        <v>110637</v>
      </c>
      <c r="I1322" s="26">
        <f>DATE(YEAR(Summary!$V$2),MONTH(Summary!$V$2),DAY(Summary!$V$2)+INT(H1322/480))</f>
        <v>43820</v>
      </c>
      <c r="J1322" s="27">
        <f t="shared" si="21"/>
        <v>0.49791666666666662</v>
      </c>
    </row>
    <row r="1323" spans="1:10">
      <c r="A1323" t="str">
        <f>VLOOKUP(Summary!M1322,Summary!$P$13:$Q$24,2)</f>
        <v>B1700-lime</v>
      </c>
      <c r="B1323">
        <f>ROUND(NORMINV(Summary!M1324,VLOOKUP(A1323,Summary!$Q$13:$S$24,3,FALSE),VLOOKUP(A1323,Summary!$Q$13:$S$24,3,FALSE)/6),-1)</f>
        <v>500</v>
      </c>
      <c r="C1323" t="str">
        <f>IF(AND(H1323=0,C1322=Summary!$P$2),Summary!$Q$2,IF(AND(H1323=0,C1322=Summary!$Q$2),Summary!$R$2,C1322))</f>
        <v>Jared</v>
      </c>
      <c r="D1323" t="str">
        <f>IF(C1323=Summary!$P$26,VLOOKUP(Summary!M1330,Summary!$Q$26:$R$27,2),IF('Run Data'!C1323=Summary!$P$28,VLOOKUP(Summary!M1330,Summary!$Q$28:$R$29,2),VLOOKUP(Summary!M1330,Summary!$Q$30:$R$32,2)))</f>
        <v>Sprig 1</v>
      </c>
      <c r="E1323" t="str">
        <f>VLOOKUP(Summary!M1333,Summary!$P$42:$Q$43,2)</f>
        <v>86</v>
      </c>
      <c r="F1323">
        <f>IF(LEFT(A1323,3)="B60",20,IF(LEFT(A1323,3)="B12",30,25))+B1323*0.5+INT(Summary!M1336*20)</f>
        <v>282</v>
      </c>
      <c r="G1323">
        <f>ROUND(IF(OR(ISERROR(FIND(Summary!$P$89,CONCATENATE(C1323,D1323,E1323))),ISERROR(FIND(Summary!$Q$89,A1323))),Summary!$R$45,IF(H1323&gt;Summary!$V$3,Summary!$R$46,Summary!$R$45))*(B1323+30),0)</f>
        <v>64</v>
      </c>
      <c r="H1323">
        <f>IF(H1322&gt;Summary!$V$4,0,H1322+F1322)</f>
        <v>111012</v>
      </c>
      <c r="I1323" s="26">
        <f>DATE(YEAR(Summary!$V$2),MONTH(Summary!$V$2),DAY(Summary!$V$2)+INT(H1323/480))</f>
        <v>43821</v>
      </c>
      <c r="J1323" s="27">
        <f t="shared" si="21"/>
        <v>0.42499999999999999</v>
      </c>
    </row>
    <row r="1324" spans="1:10">
      <c r="A1324" t="str">
        <f>VLOOKUP(Summary!M1323,Summary!$P$13:$Q$24,2)</f>
        <v>B1700-lime</v>
      </c>
      <c r="B1324">
        <f>ROUND(NORMINV(Summary!M1325,VLOOKUP(A1324,Summary!$Q$13:$S$24,3,FALSE),VLOOKUP(A1324,Summary!$Q$13:$S$24,3,FALSE)/6),-1)</f>
        <v>410</v>
      </c>
      <c r="C1324" t="str">
        <f>IF(AND(H1324=0,C1323=Summary!$P$2),Summary!$Q$2,IF(AND(H1324=0,C1323=Summary!$Q$2),Summary!$R$2,C1323))</f>
        <v>Jared</v>
      </c>
      <c r="D1324" t="str">
        <f>IF(C1324=Summary!$P$26,VLOOKUP(Summary!M1331,Summary!$Q$26:$R$27,2),IF('Run Data'!C1324=Summary!$P$28,VLOOKUP(Summary!M1331,Summary!$Q$28:$R$29,2),VLOOKUP(Summary!M1331,Summary!$Q$30:$R$32,2)))</f>
        <v>Sprig 1</v>
      </c>
      <c r="E1324" t="str">
        <f>VLOOKUP(Summary!M1334,Summary!$P$42:$Q$43,2)</f>
        <v>86</v>
      </c>
      <c r="F1324">
        <f>IF(LEFT(A1324,3)="B60",20,IF(LEFT(A1324,3)="B12",30,25))+B1324*0.5+INT(Summary!M1337*20)</f>
        <v>242</v>
      </c>
      <c r="G1324">
        <f>ROUND(IF(OR(ISERROR(FIND(Summary!$P$89,CONCATENATE(C1324,D1324,E1324))),ISERROR(FIND(Summary!$Q$89,A1324))),Summary!$R$45,IF(H1324&gt;Summary!$V$3,Summary!$R$46,Summary!$R$45))*(B1324+30),0)</f>
        <v>53</v>
      </c>
      <c r="H1324">
        <f>IF(H1323&gt;Summary!$V$4,0,H1323+F1323)</f>
        <v>111294</v>
      </c>
      <c r="I1324" s="26">
        <f>DATE(YEAR(Summary!$V$2),MONTH(Summary!$V$2),DAY(Summary!$V$2)+INT(H1324/480))</f>
        <v>43821</v>
      </c>
      <c r="J1324" s="27">
        <f t="shared" si="21"/>
        <v>0.62083333333333335</v>
      </c>
    </row>
    <row r="1325" spans="1:10">
      <c r="A1325" t="str">
        <f>VLOOKUP(Summary!M1324,Summary!$P$13:$Q$24,2)</f>
        <v>B1700-lime</v>
      </c>
      <c r="B1325">
        <f>ROUND(NORMINV(Summary!M1326,VLOOKUP(A1325,Summary!$Q$13:$S$24,3,FALSE),VLOOKUP(A1325,Summary!$Q$13:$S$24,3,FALSE)/6),-1)</f>
        <v>500</v>
      </c>
      <c r="C1325" t="str">
        <f>IF(AND(H1325=0,C1324=Summary!$P$2),Summary!$Q$2,IF(AND(H1325=0,C1324=Summary!$Q$2),Summary!$R$2,C1324))</f>
        <v>Jared</v>
      </c>
      <c r="D1325" t="str">
        <f>IF(C1325=Summary!$P$26,VLOOKUP(Summary!M1332,Summary!$Q$26:$R$27,2),IF('Run Data'!C1325=Summary!$P$28,VLOOKUP(Summary!M1332,Summary!$Q$28:$R$29,2),VLOOKUP(Summary!M1332,Summary!$Q$30:$R$32,2)))</f>
        <v>Sprig 2</v>
      </c>
      <c r="E1325" t="str">
        <f>VLOOKUP(Summary!M1335,Summary!$P$42:$Q$43,2)</f>
        <v>86</v>
      </c>
      <c r="F1325">
        <f>IF(LEFT(A1325,3)="B60",20,IF(LEFT(A1325,3)="B12",30,25))+B1325*0.5+INT(Summary!M1338*20)</f>
        <v>287</v>
      </c>
      <c r="G1325">
        <f>ROUND(IF(OR(ISERROR(FIND(Summary!$P$89,CONCATENATE(C1325,D1325,E1325))),ISERROR(FIND(Summary!$Q$89,A1325))),Summary!$R$45,IF(H1325&gt;Summary!$V$3,Summary!$R$46,Summary!$R$45))*(B1325+30),0)</f>
        <v>64</v>
      </c>
      <c r="H1325">
        <f>IF(H1324&gt;Summary!$V$4,0,H1324+F1324)</f>
        <v>111536</v>
      </c>
      <c r="I1325" s="26">
        <f>DATE(YEAR(Summary!$V$2),MONTH(Summary!$V$2),DAY(Summary!$V$2)+INT(H1325/480))</f>
        <v>43822</v>
      </c>
      <c r="J1325" s="27">
        <f t="shared" si="21"/>
        <v>0.45555555555555555</v>
      </c>
    </row>
    <row r="1326" spans="1:10">
      <c r="A1326" t="str">
        <f>VLOOKUP(Summary!M1325,Summary!$P$13:$Q$24,2)</f>
        <v>B1200-lime</v>
      </c>
      <c r="B1326">
        <f>ROUND(NORMINV(Summary!M1327,VLOOKUP(A1326,Summary!$Q$13:$S$24,3,FALSE),VLOOKUP(A1326,Summary!$Q$13:$S$24,3,FALSE)/6),-1)</f>
        <v>530</v>
      </c>
      <c r="C1326" t="str">
        <f>IF(AND(H1326=0,C1325=Summary!$P$2),Summary!$Q$2,IF(AND(H1326=0,C1325=Summary!$Q$2),Summary!$R$2,C1325))</f>
        <v>Jared</v>
      </c>
      <c r="D1326" t="str">
        <f>IF(C1326=Summary!$P$26,VLOOKUP(Summary!M1333,Summary!$Q$26:$R$27,2),IF('Run Data'!C1326=Summary!$P$28,VLOOKUP(Summary!M1333,Summary!$Q$28:$R$29,2),VLOOKUP(Summary!M1333,Summary!$Q$30:$R$32,2)))</f>
        <v>Sprig 1</v>
      </c>
      <c r="E1326" t="str">
        <f>VLOOKUP(Summary!M1336,Summary!$P$42:$Q$43,2)</f>
        <v>86</v>
      </c>
      <c r="F1326">
        <f>IF(LEFT(A1326,3)="B60",20,IF(LEFT(A1326,3)="B12",30,25))+B1326*0.5+INT(Summary!M1339*20)</f>
        <v>298</v>
      </c>
      <c r="G1326">
        <f>ROUND(IF(OR(ISERROR(FIND(Summary!$P$89,CONCATENATE(C1326,D1326,E1326))),ISERROR(FIND(Summary!$Q$89,A1326))),Summary!$R$45,IF(H1326&gt;Summary!$V$3,Summary!$R$46,Summary!$R$45))*(B1326+30),0)</f>
        <v>6</v>
      </c>
      <c r="H1326">
        <f>IF(H1325&gt;Summary!$V$4,0,H1325+F1325)</f>
        <v>111823</v>
      </c>
      <c r="I1326" s="26">
        <f>DATE(YEAR(Summary!$V$2),MONTH(Summary!$V$2),DAY(Summary!$V$2)+INT(H1326/480))</f>
        <v>43822</v>
      </c>
      <c r="J1326" s="27">
        <f t="shared" si="21"/>
        <v>0.65486111111111112</v>
      </c>
    </row>
    <row r="1327" spans="1:10">
      <c r="A1327" t="str">
        <f>VLOOKUP(Summary!M1326,Summary!$P$13:$Q$24,2)</f>
        <v>B1700-lime</v>
      </c>
      <c r="B1327">
        <f>ROUND(NORMINV(Summary!M1328,VLOOKUP(A1327,Summary!$Q$13:$S$24,3,FALSE),VLOOKUP(A1327,Summary!$Q$13:$S$24,3,FALSE)/6),-1)</f>
        <v>290</v>
      </c>
      <c r="C1327" t="str">
        <f>IF(AND(H1327=0,C1326=Summary!$P$2),Summary!$Q$2,IF(AND(H1327=0,C1326=Summary!$Q$2),Summary!$R$2,C1326))</f>
        <v>Jared</v>
      </c>
      <c r="D1327" t="str">
        <f>IF(C1327=Summary!$P$26,VLOOKUP(Summary!M1334,Summary!$Q$26:$R$27,2),IF('Run Data'!C1327=Summary!$P$28,VLOOKUP(Summary!M1334,Summary!$Q$28:$R$29,2),VLOOKUP(Summary!M1334,Summary!$Q$30:$R$32,2)))</f>
        <v>Sprig 1</v>
      </c>
      <c r="E1327" t="str">
        <f>VLOOKUP(Summary!M1337,Summary!$P$42:$Q$43,2)</f>
        <v>86</v>
      </c>
      <c r="F1327">
        <f>IF(LEFT(A1327,3)="B60",20,IF(LEFT(A1327,3)="B12",30,25))+B1327*0.5+INT(Summary!M1340*20)</f>
        <v>189</v>
      </c>
      <c r="G1327">
        <f>ROUND(IF(OR(ISERROR(FIND(Summary!$P$89,CONCATENATE(C1327,D1327,E1327))),ISERROR(FIND(Summary!$Q$89,A1327))),Summary!$R$45,IF(H1327&gt;Summary!$V$3,Summary!$R$46,Summary!$R$45))*(B1327+30),0)</f>
        <v>38</v>
      </c>
      <c r="H1327">
        <f>IF(H1326&gt;Summary!$V$4,0,H1326+F1326)</f>
        <v>112121</v>
      </c>
      <c r="I1327" s="26">
        <f>DATE(YEAR(Summary!$V$2),MONTH(Summary!$V$2),DAY(Summary!$V$2)+INT(H1327/480))</f>
        <v>43823</v>
      </c>
      <c r="J1327" s="27">
        <f t="shared" si="21"/>
        <v>0.52847222222222223</v>
      </c>
    </row>
    <row r="1328" spans="1:10">
      <c r="A1328" t="str">
        <f>VLOOKUP(Summary!M1327,Summary!$P$13:$Q$24,2)</f>
        <v>B600-plum</v>
      </c>
      <c r="B1328">
        <f>ROUND(NORMINV(Summary!M1329,VLOOKUP(A1328,Summary!$Q$13:$S$24,3,FALSE),VLOOKUP(A1328,Summary!$Q$13:$S$24,3,FALSE)/6),-1)</f>
        <v>200</v>
      </c>
      <c r="C1328" t="str">
        <f>IF(AND(H1328=0,C1327=Summary!$P$2),Summary!$Q$2,IF(AND(H1328=0,C1327=Summary!$Q$2),Summary!$R$2,C1327))</f>
        <v>Jared</v>
      </c>
      <c r="D1328" t="str">
        <f>IF(C1328=Summary!$P$26,VLOOKUP(Summary!M1335,Summary!$Q$26:$R$27,2),IF('Run Data'!C1328=Summary!$P$28,VLOOKUP(Summary!M1335,Summary!$Q$28:$R$29,2),VLOOKUP(Summary!M1335,Summary!$Q$30:$R$32,2)))</f>
        <v>Sprig 2</v>
      </c>
      <c r="E1328" t="str">
        <f>VLOOKUP(Summary!M1338,Summary!$P$42:$Q$43,2)</f>
        <v>86</v>
      </c>
      <c r="F1328">
        <f>IF(LEFT(A1328,3)="B60",20,IF(LEFT(A1328,3)="B12",30,25))+B1328*0.5+INT(Summary!M1341*20)</f>
        <v>121</v>
      </c>
      <c r="G1328">
        <f>ROUND(IF(OR(ISERROR(FIND(Summary!$P$89,CONCATENATE(C1328,D1328,E1328))),ISERROR(FIND(Summary!$Q$89,A1328))),Summary!$R$45,IF(H1328&gt;Summary!$V$3,Summary!$R$46,Summary!$R$45))*(B1328+30),0)</f>
        <v>2</v>
      </c>
      <c r="H1328">
        <f>IF(H1327&gt;Summary!$V$4,0,H1327+F1327)</f>
        <v>112310</v>
      </c>
      <c r="I1328" s="26">
        <f>DATE(YEAR(Summary!$V$2),MONTH(Summary!$V$2),DAY(Summary!$V$2)+INT(H1328/480))</f>
        <v>43823</v>
      </c>
      <c r="J1328" s="27">
        <f t="shared" si="21"/>
        <v>0.65972222222222221</v>
      </c>
    </row>
    <row r="1329" spans="1:10">
      <c r="A1329" t="str">
        <f>VLOOKUP(Summary!M1328,Summary!$P$13:$Q$24,2)</f>
        <v>B600-plum</v>
      </c>
      <c r="B1329">
        <f>ROUND(NORMINV(Summary!M1330,VLOOKUP(A1329,Summary!$Q$13:$S$24,3,FALSE),VLOOKUP(A1329,Summary!$Q$13:$S$24,3,FALSE)/6),-1)</f>
        <v>170</v>
      </c>
      <c r="C1329" t="str">
        <f>IF(AND(H1329=0,C1328=Summary!$P$2),Summary!$Q$2,IF(AND(H1329=0,C1328=Summary!$Q$2),Summary!$R$2,C1328))</f>
        <v>Jared</v>
      </c>
      <c r="D1329" t="str">
        <f>IF(C1329=Summary!$P$26,VLOOKUP(Summary!M1336,Summary!$Q$26:$R$27,2),IF('Run Data'!C1329=Summary!$P$28,VLOOKUP(Summary!M1336,Summary!$Q$28:$R$29,2),VLOOKUP(Summary!M1336,Summary!$Q$30:$R$32,2)))</f>
        <v>Sprig 2</v>
      </c>
      <c r="E1329" t="str">
        <f>VLOOKUP(Summary!M1339,Summary!$P$42:$Q$43,2)</f>
        <v>86</v>
      </c>
      <c r="F1329">
        <f>IF(LEFT(A1329,3)="B60",20,IF(LEFT(A1329,3)="B12",30,25))+B1329*0.5+INT(Summary!M1342*20)</f>
        <v>107</v>
      </c>
      <c r="G1329">
        <f>ROUND(IF(OR(ISERROR(FIND(Summary!$P$89,CONCATENATE(C1329,D1329,E1329))),ISERROR(FIND(Summary!$Q$89,A1329))),Summary!$R$45,IF(H1329&gt;Summary!$V$3,Summary!$R$46,Summary!$R$45))*(B1329+30),0)</f>
        <v>2</v>
      </c>
      <c r="H1329">
        <f>IF(H1328&gt;Summary!$V$4,0,H1328+F1328)</f>
        <v>112431</v>
      </c>
      <c r="I1329" s="26">
        <f>DATE(YEAR(Summary!$V$2),MONTH(Summary!$V$2),DAY(Summary!$V$2)+INT(H1329/480))</f>
        <v>43824</v>
      </c>
      <c r="J1329" s="27">
        <f t="shared" si="21"/>
        <v>0.41041666666666665</v>
      </c>
    </row>
    <row r="1330" spans="1:10">
      <c r="A1330" t="str">
        <f>VLOOKUP(Summary!M1329,Summary!$P$13:$Q$24,2)</f>
        <v>B1200-fire</v>
      </c>
      <c r="B1330">
        <f>ROUND(NORMINV(Summary!M1331,VLOOKUP(A1330,Summary!$Q$13:$S$24,3,FALSE),VLOOKUP(A1330,Summary!$Q$13:$S$24,3,FALSE)/6),-1)</f>
        <v>980</v>
      </c>
      <c r="C1330" t="str">
        <f>IF(AND(H1330=0,C1329=Summary!$P$2),Summary!$Q$2,IF(AND(H1330=0,C1329=Summary!$Q$2),Summary!$R$2,C1329))</f>
        <v>Jared</v>
      </c>
      <c r="D1330" t="str">
        <f>IF(C1330=Summary!$P$26,VLOOKUP(Summary!M1337,Summary!$Q$26:$R$27,2),IF('Run Data'!C1330=Summary!$P$28,VLOOKUP(Summary!M1337,Summary!$Q$28:$R$29,2),VLOOKUP(Summary!M1337,Summary!$Q$30:$R$32,2)))</f>
        <v>Sprig 3</v>
      </c>
      <c r="E1330" t="str">
        <f>VLOOKUP(Summary!M1340,Summary!$P$42:$Q$43,2)</f>
        <v>87b</v>
      </c>
      <c r="F1330">
        <f>IF(LEFT(A1330,3)="B60",20,IF(LEFT(A1330,3)="B12",30,25))+B1330*0.5+INT(Summary!M1343*20)</f>
        <v>538</v>
      </c>
      <c r="G1330">
        <f>ROUND(IF(OR(ISERROR(FIND(Summary!$P$89,CONCATENATE(C1330,D1330,E1330))),ISERROR(FIND(Summary!$Q$89,A1330))),Summary!$R$45,IF(H1330&gt;Summary!$V$3,Summary!$R$46,Summary!$R$45))*(B1330+30),0)</f>
        <v>10</v>
      </c>
      <c r="H1330">
        <f>IF(H1329&gt;Summary!$V$4,0,H1329+F1329)</f>
        <v>112538</v>
      </c>
      <c r="I1330" s="26">
        <f>DATE(YEAR(Summary!$V$2),MONTH(Summary!$V$2),DAY(Summary!$V$2)+INT(H1330/480))</f>
        <v>43824</v>
      </c>
      <c r="J1330" s="27">
        <f t="shared" si="21"/>
        <v>0.48472222222222222</v>
      </c>
    </row>
    <row r="1331" spans="1:10">
      <c r="A1331" t="str">
        <f>VLOOKUP(Summary!M1330,Summary!$P$13:$Q$24,2)</f>
        <v>B600-fire</v>
      </c>
      <c r="B1331">
        <f>ROUND(NORMINV(Summary!M1332,VLOOKUP(A1331,Summary!$Q$13:$S$24,3,FALSE),VLOOKUP(A1331,Summary!$Q$13:$S$24,3,FALSE)/6),-1)</f>
        <v>390</v>
      </c>
      <c r="C1331" t="str">
        <f>IF(AND(H1331=0,C1330=Summary!$P$2),Summary!$Q$2,IF(AND(H1331=0,C1330=Summary!$Q$2),Summary!$R$2,C1330))</f>
        <v>Jared</v>
      </c>
      <c r="D1331" t="str">
        <f>IF(C1331=Summary!$P$26,VLOOKUP(Summary!M1338,Summary!$Q$26:$R$27,2),IF('Run Data'!C1331=Summary!$P$28,VLOOKUP(Summary!M1338,Summary!$Q$28:$R$29,2),VLOOKUP(Summary!M1338,Summary!$Q$30:$R$32,2)))</f>
        <v>Sprig 3</v>
      </c>
      <c r="E1331" t="str">
        <f>VLOOKUP(Summary!M1341,Summary!$P$42:$Q$43,2)</f>
        <v>86</v>
      </c>
      <c r="F1331">
        <f>IF(LEFT(A1331,3)="B60",20,IF(LEFT(A1331,3)="B12",30,25))+B1331*0.5+INT(Summary!M1344*20)</f>
        <v>219</v>
      </c>
      <c r="G1331">
        <f>ROUND(IF(OR(ISERROR(FIND(Summary!$P$89,CONCATENATE(C1331,D1331,E1331))),ISERROR(FIND(Summary!$Q$89,A1331))),Summary!$R$45,IF(H1331&gt;Summary!$V$3,Summary!$R$46,Summary!$R$45))*(B1331+30),0)</f>
        <v>4</v>
      </c>
      <c r="H1331">
        <f>IF(H1330&gt;Summary!$V$4,0,H1330+F1330)</f>
        <v>113076</v>
      </c>
      <c r="I1331" s="26">
        <f>DATE(YEAR(Summary!$V$2),MONTH(Summary!$V$2),DAY(Summary!$V$2)+INT(H1331/480))</f>
        <v>43825</v>
      </c>
      <c r="J1331" s="27">
        <f t="shared" si="21"/>
        <v>0.52500000000000002</v>
      </c>
    </row>
    <row r="1332" spans="1:10">
      <c r="A1332" t="str">
        <f>VLOOKUP(Summary!M1331,Summary!$P$13:$Q$24,2)</f>
        <v>B600-fire</v>
      </c>
      <c r="B1332">
        <f>ROUND(NORMINV(Summary!M1333,VLOOKUP(A1332,Summary!$Q$13:$S$24,3,FALSE),VLOOKUP(A1332,Summary!$Q$13:$S$24,3,FALSE)/6),-1)</f>
        <v>300</v>
      </c>
      <c r="C1332" t="str">
        <f>IF(AND(H1332=0,C1331=Summary!$P$2),Summary!$Q$2,IF(AND(H1332=0,C1331=Summary!$Q$2),Summary!$R$2,C1331))</f>
        <v>Jared</v>
      </c>
      <c r="D1332" t="str">
        <f>IF(C1332=Summary!$P$26,VLOOKUP(Summary!M1339,Summary!$Q$26:$R$27,2),IF('Run Data'!C1332=Summary!$P$28,VLOOKUP(Summary!M1339,Summary!$Q$28:$R$29,2),VLOOKUP(Summary!M1339,Summary!$Q$30:$R$32,2)))</f>
        <v>Sprig 1</v>
      </c>
      <c r="E1332" t="str">
        <f>VLOOKUP(Summary!M1342,Summary!$P$42:$Q$43,2)</f>
        <v>86</v>
      </c>
      <c r="F1332">
        <f>IF(LEFT(A1332,3)="B60",20,IF(LEFT(A1332,3)="B12",30,25))+B1332*0.5+INT(Summary!M1345*20)</f>
        <v>170</v>
      </c>
      <c r="G1332">
        <f>ROUND(IF(OR(ISERROR(FIND(Summary!$P$89,CONCATENATE(C1332,D1332,E1332))),ISERROR(FIND(Summary!$Q$89,A1332))),Summary!$R$45,IF(H1332&gt;Summary!$V$3,Summary!$R$46,Summary!$R$45))*(B1332+30),0)</f>
        <v>3</v>
      </c>
      <c r="H1332">
        <f>IF(H1331&gt;Summary!$V$4,0,H1331+F1331)</f>
        <v>113295</v>
      </c>
      <c r="I1332" s="26">
        <f>DATE(YEAR(Summary!$V$2),MONTH(Summary!$V$2),DAY(Summary!$V$2)+INT(H1332/480))</f>
        <v>43826</v>
      </c>
      <c r="J1332" s="27">
        <f t="shared" si="21"/>
        <v>0.34375</v>
      </c>
    </row>
    <row r="1333" spans="1:10">
      <c r="A1333" t="str">
        <f>VLOOKUP(Summary!M1332,Summary!$P$13:$Q$24,2)</f>
        <v>B1200-sky</v>
      </c>
      <c r="B1333">
        <f>ROUND(NORMINV(Summary!M1334,VLOOKUP(A1333,Summary!$Q$13:$S$24,3,FALSE),VLOOKUP(A1333,Summary!$Q$13:$S$24,3,FALSE)/6),-1)</f>
        <v>960</v>
      </c>
      <c r="C1333" t="str">
        <f>IF(AND(H1333=0,C1332=Summary!$P$2),Summary!$Q$2,IF(AND(H1333=0,C1332=Summary!$Q$2),Summary!$R$2,C1332))</f>
        <v>Jared</v>
      </c>
      <c r="D1333" t="str">
        <f>IF(C1333=Summary!$P$26,VLOOKUP(Summary!M1340,Summary!$Q$26:$R$27,2),IF('Run Data'!C1333=Summary!$P$28,VLOOKUP(Summary!M1340,Summary!$Q$28:$R$29,2),VLOOKUP(Summary!M1340,Summary!$Q$30:$R$32,2)))</f>
        <v>Sprig 3</v>
      </c>
      <c r="E1333" t="str">
        <f>VLOOKUP(Summary!M1343,Summary!$P$42:$Q$43,2)</f>
        <v>87b</v>
      </c>
      <c r="F1333">
        <f>IF(LEFT(A1333,3)="B60",20,IF(LEFT(A1333,3)="B12",30,25))+B1333*0.5+INT(Summary!M1346*20)</f>
        <v>524</v>
      </c>
      <c r="G1333">
        <f>ROUND(IF(OR(ISERROR(FIND(Summary!$P$89,CONCATENATE(C1333,D1333,E1333))),ISERROR(FIND(Summary!$Q$89,A1333))),Summary!$R$45,IF(H1333&gt;Summary!$V$3,Summary!$R$46,Summary!$R$45))*(B1333+30),0)</f>
        <v>10</v>
      </c>
      <c r="H1333">
        <f>IF(H1332&gt;Summary!$V$4,0,H1332+F1332)</f>
        <v>113465</v>
      </c>
      <c r="I1333" s="26">
        <f>DATE(YEAR(Summary!$V$2),MONTH(Summary!$V$2),DAY(Summary!$V$2)+INT(H1333/480))</f>
        <v>43826</v>
      </c>
      <c r="J1333" s="27">
        <f t="shared" si="21"/>
        <v>0.46180555555555558</v>
      </c>
    </row>
    <row r="1334" spans="1:10">
      <c r="A1334" t="str">
        <f>VLOOKUP(Summary!M1333,Summary!$P$13:$Q$24,2)</f>
        <v>B600-sky</v>
      </c>
      <c r="B1334">
        <f>ROUND(NORMINV(Summary!M1335,VLOOKUP(A1334,Summary!$Q$13:$S$24,3,FALSE),VLOOKUP(A1334,Summary!$Q$13:$S$24,3,FALSE)/6),-1)</f>
        <v>450</v>
      </c>
      <c r="C1334" t="str">
        <f>IF(AND(H1334=0,C1333=Summary!$P$2),Summary!$Q$2,IF(AND(H1334=0,C1333=Summary!$Q$2),Summary!$R$2,C1333))</f>
        <v>Jared</v>
      </c>
      <c r="D1334" t="str">
        <f>IF(C1334=Summary!$P$26,VLOOKUP(Summary!M1341,Summary!$Q$26:$R$27,2),IF('Run Data'!C1334=Summary!$P$28,VLOOKUP(Summary!M1341,Summary!$Q$28:$R$29,2),VLOOKUP(Summary!M1341,Summary!$Q$30:$R$32,2)))</f>
        <v>Sprig 1</v>
      </c>
      <c r="E1334" t="str">
        <f>VLOOKUP(Summary!M1344,Summary!$P$42:$Q$43,2)</f>
        <v>86</v>
      </c>
      <c r="F1334">
        <f>IF(LEFT(A1334,3)="B60",20,IF(LEFT(A1334,3)="B12",30,25))+B1334*0.5+INT(Summary!M1347*20)</f>
        <v>254</v>
      </c>
      <c r="G1334">
        <f>ROUND(IF(OR(ISERROR(FIND(Summary!$P$89,CONCATENATE(C1334,D1334,E1334))),ISERROR(FIND(Summary!$Q$89,A1334))),Summary!$R$45,IF(H1334&gt;Summary!$V$3,Summary!$R$46,Summary!$R$45))*(B1334+30),0)</f>
        <v>5</v>
      </c>
      <c r="H1334">
        <f>IF(H1333&gt;Summary!$V$4,0,H1333+F1333)</f>
        <v>113989</v>
      </c>
      <c r="I1334" s="26">
        <f>DATE(YEAR(Summary!$V$2),MONTH(Summary!$V$2),DAY(Summary!$V$2)+INT(H1334/480))</f>
        <v>43827</v>
      </c>
      <c r="J1334" s="27">
        <f t="shared" si="21"/>
        <v>0.49236111111111108</v>
      </c>
    </row>
    <row r="1335" spans="1:10">
      <c r="A1335" t="str">
        <f>VLOOKUP(Summary!M1334,Summary!$P$13:$Q$24,2)</f>
        <v>B600-fire</v>
      </c>
      <c r="B1335">
        <f>ROUND(NORMINV(Summary!M1336,VLOOKUP(A1335,Summary!$Q$13:$S$24,3,FALSE),VLOOKUP(A1335,Summary!$Q$13:$S$24,3,FALSE)/6),-1)</f>
        <v>380</v>
      </c>
      <c r="C1335" t="str">
        <f>IF(AND(H1335=0,C1334=Summary!$P$2),Summary!$Q$2,IF(AND(H1335=0,C1334=Summary!$Q$2),Summary!$R$2,C1334))</f>
        <v>Jared</v>
      </c>
      <c r="D1335" t="str">
        <f>IF(C1335=Summary!$P$26,VLOOKUP(Summary!M1342,Summary!$Q$26:$R$27,2),IF('Run Data'!C1335=Summary!$P$28,VLOOKUP(Summary!M1342,Summary!$Q$28:$R$29,2),VLOOKUP(Summary!M1342,Summary!$Q$30:$R$32,2)))</f>
        <v>Sprig 1</v>
      </c>
      <c r="E1335" t="str">
        <f>VLOOKUP(Summary!M1345,Summary!$P$42:$Q$43,2)</f>
        <v>86</v>
      </c>
      <c r="F1335">
        <f>IF(LEFT(A1335,3)="B60",20,IF(LEFT(A1335,3)="B12",30,25))+B1335*0.5+INT(Summary!M1348*20)</f>
        <v>217</v>
      </c>
      <c r="G1335">
        <f>ROUND(IF(OR(ISERROR(FIND(Summary!$P$89,CONCATENATE(C1335,D1335,E1335))),ISERROR(FIND(Summary!$Q$89,A1335))),Summary!$R$45,IF(H1335&gt;Summary!$V$3,Summary!$R$46,Summary!$R$45))*(B1335+30),0)</f>
        <v>4</v>
      </c>
      <c r="H1335">
        <f>IF(H1334&gt;Summary!$V$4,0,H1334+F1334)</f>
        <v>114243</v>
      </c>
      <c r="I1335" s="26">
        <f>DATE(YEAR(Summary!$V$2),MONTH(Summary!$V$2),DAY(Summary!$V$2)+INT(H1335/480))</f>
        <v>43828</v>
      </c>
      <c r="J1335" s="27">
        <f t="shared" si="21"/>
        <v>0.3354166666666667</v>
      </c>
    </row>
    <row r="1336" spans="1:10">
      <c r="A1336" t="str">
        <f>VLOOKUP(Summary!M1335,Summary!$P$13:$Q$24,2)</f>
        <v>B1200-plum</v>
      </c>
      <c r="B1336">
        <f>ROUND(NORMINV(Summary!M1337,VLOOKUP(A1336,Summary!$Q$13:$S$24,3,FALSE),VLOOKUP(A1336,Summary!$Q$13:$S$24,3,FALSE)/6),-1)</f>
        <v>470</v>
      </c>
      <c r="C1336" t="str">
        <f>IF(AND(H1336=0,C1335=Summary!$P$2),Summary!$Q$2,IF(AND(H1336=0,C1335=Summary!$Q$2),Summary!$R$2,C1335))</f>
        <v>Jared</v>
      </c>
      <c r="D1336" t="str">
        <f>IF(C1336=Summary!$P$26,VLOOKUP(Summary!M1343,Summary!$Q$26:$R$27,2),IF('Run Data'!C1336=Summary!$P$28,VLOOKUP(Summary!M1343,Summary!$Q$28:$R$29,2),VLOOKUP(Summary!M1343,Summary!$Q$30:$R$32,2)))</f>
        <v>Sprig 3</v>
      </c>
      <c r="E1336" t="str">
        <f>VLOOKUP(Summary!M1346,Summary!$P$42:$Q$43,2)</f>
        <v>86</v>
      </c>
      <c r="F1336">
        <f>IF(LEFT(A1336,3)="B60",20,IF(LEFT(A1336,3)="B12",30,25))+B1336*0.5+INT(Summary!M1349*20)</f>
        <v>277</v>
      </c>
      <c r="G1336">
        <f>ROUND(IF(OR(ISERROR(FIND(Summary!$P$89,CONCATENATE(C1336,D1336,E1336))),ISERROR(FIND(Summary!$Q$89,A1336))),Summary!$R$45,IF(H1336&gt;Summary!$V$3,Summary!$R$46,Summary!$R$45))*(B1336+30),0)</f>
        <v>5</v>
      </c>
      <c r="H1336">
        <f>IF(H1335&gt;Summary!$V$4,0,H1335+F1335)</f>
        <v>114460</v>
      </c>
      <c r="I1336" s="26">
        <f>DATE(YEAR(Summary!$V$2),MONTH(Summary!$V$2),DAY(Summary!$V$2)+INT(H1336/480))</f>
        <v>43828</v>
      </c>
      <c r="J1336" s="27">
        <f t="shared" si="21"/>
        <v>0.4861111111111111</v>
      </c>
    </row>
    <row r="1337" spans="1:10">
      <c r="A1337" t="str">
        <f>VLOOKUP(Summary!M1336,Summary!$P$13:$Q$24,2)</f>
        <v>B1200-sky</v>
      </c>
      <c r="B1337">
        <f>ROUND(NORMINV(Summary!M1338,VLOOKUP(A1337,Summary!$Q$13:$S$24,3,FALSE),VLOOKUP(A1337,Summary!$Q$13:$S$24,3,FALSE)/6),-1)</f>
        <v>1270</v>
      </c>
      <c r="C1337" t="str">
        <f>IF(AND(H1337=0,C1336=Summary!$P$2),Summary!$Q$2,IF(AND(H1337=0,C1336=Summary!$Q$2),Summary!$R$2,C1336))</f>
        <v>Jared</v>
      </c>
      <c r="D1337" t="str">
        <f>IF(C1337=Summary!$P$26,VLOOKUP(Summary!M1344,Summary!$Q$26:$R$27,2),IF('Run Data'!C1337=Summary!$P$28,VLOOKUP(Summary!M1344,Summary!$Q$28:$R$29,2),VLOOKUP(Summary!M1344,Summary!$Q$30:$R$32,2)))</f>
        <v>Sprig 2</v>
      </c>
      <c r="E1337" t="str">
        <f>VLOOKUP(Summary!M1347,Summary!$P$42:$Q$43,2)</f>
        <v>86</v>
      </c>
      <c r="F1337">
        <f>IF(LEFT(A1337,3)="B60",20,IF(LEFT(A1337,3)="B12",30,25))+B1337*0.5+INT(Summary!M1350*20)</f>
        <v>667</v>
      </c>
      <c r="G1337">
        <f>ROUND(IF(OR(ISERROR(FIND(Summary!$P$89,CONCATENATE(C1337,D1337,E1337))),ISERROR(FIND(Summary!$Q$89,A1337))),Summary!$R$45,IF(H1337&gt;Summary!$V$3,Summary!$R$46,Summary!$R$45))*(B1337+30),0)</f>
        <v>13</v>
      </c>
      <c r="H1337">
        <f>IF(H1336&gt;Summary!$V$4,0,H1336+F1336)</f>
        <v>114737</v>
      </c>
      <c r="I1337" s="26">
        <f>DATE(YEAR(Summary!$V$2),MONTH(Summary!$V$2),DAY(Summary!$V$2)+INT(H1337/480))</f>
        <v>43829</v>
      </c>
      <c r="J1337" s="27">
        <f t="shared" si="21"/>
        <v>0.34513888888888888</v>
      </c>
    </row>
    <row r="1338" spans="1:10">
      <c r="A1338" t="str">
        <f>VLOOKUP(Summary!M1337,Summary!$P$13:$Q$24,2)</f>
        <v>B1200-lime</v>
      </c>
      <c r="B1338">
        <f>ROUND(NORMINV(Summary!M1339,VLOOKUP(A1338,Summary!$Q$13:$S$24,3,FALSE),VLOOKUP(A1338,Summary!$Q$13:$S$24,3,FALSE)/6),-1)</f>
        <v>670</v>
      </c>
      <c r="C1338" t="str">
        <f>IF(AND(H1338=0,C1337=Summary!$P$2),Summary!$Q$2,IF(AND(H1338=0,C1337=Summary!$Q$2),Summary!$R$2,C1337))</f>
        <v>Jared</v>
      </c>
      <c r="D1338" t="str">
        <f>IF(C1338=Summary!$P$26,VLOOKUP(Summary!M1345,Summary!$Q$26:$R$27,2),IF('Run Data'!C1338=Summary!$P$28,VLOOKUP(Summary!M1345,Summary!$Q$28:$R$29,2),VLOOKUP(Summary!M1345,Summary!$Q$30:$R$32,2)))</f>
        <v>Sprig 1</v>
      </c>
      <c r="E1338" t="str">
        <f>VLOOKUP(Summary!M1348,Summary!$P$42:$Q$43,2)</f>
        <v>86</v>
      </c>
      <c r="F1338">
        <f>IF(LEFT(A1338,3)="B60",20,IF(LEFT(A1338,3)="B12",30,25))+B1338*0.5+INT(Summary!M1351*20)</f>
        <v>374</v>
      </c>
      <c r="G1338">
        <f>ROUND(IF(OR(ISERROR(FIND(Summary!$P$89,CONCATENATE(C1338,D1338,E1338))),ISERROR(FIND(Summary!$Q$89,A1338))),Summary!$R$45,IF(H1338&gt;Summary!$V$3,Summary!$R$46,Summary!$R$45))*(B1338+30),0)</f>
        <v>7</v>
      </c>
      <c r="H1338">
        <f>IF(H1337&gt;Summary!$V$4,0,H1337+F1337)</f>
        <v>115404</v>
      </c>
      <c r="I1338" s="26">
        <f>DATE(YEAR(Summary!$V$2),MONTH(Summary!$V$2),DAY(Summary!$V$2)+INT(H1338/480))</f>
        <v>43830</v>
      </c>
      <c r="J1338" s="27">
        <f t="shared" si="21"/>
        <v>0.47500000000000003</v>
      </c>
    </row>
    <row r="1339" spans="1:10">
      <c r="A1339" t="str">
        <f>VLOOKUP(Summary!M1338,Summary!$P$13:$Q$24,2)</f>
        <v>B1200-lime</v>
      </c>
      <c r="B1339">
        <f>ROUND(NORMINV(Summary!M1340,VLOOKUP(A1339,Summary!$Q$13:$S$24,3,FALSE),VLOOKUP(A1339,Summary!$Q$13:$S$24,3,FALSE)/6),-1)</f>
        <v>1040</v>
      </c>
      <c r="C1339" t="str">
        <f>IF(AND(H1339=0,C1338=Summary!$P$2),Summary!$Q$2,IF(AND(H1339=0,C1338=Summary!$Q$2),Summary!$R$2,C1338))</f>
        <v>Jared</v>
      </c>
      <c r="D1339" t="str">
        <f>IF(C1339=Summary!$P$26,VLOOKUP(Summary!M1346,Summary!$Q$26:$R$27,2),IF('Run Data'!C1339=Summary!$P$28,VLOOKUP(Summary!M1346,Summary!$Q$28:$R$29,2),VLOOKUP(Summary!M1346,Summary!$Q$30:$R$32,2)))</f>
        <v>Sprig 3</v>
      </c>
      <c r="E1339" t="str">
        <f>VLOOKUP(Summary!M1349,Summary!$P$42:$Q$43,2)</f>
        <v>86</v>
      </c>
      <c r="F1339">
        <f>IF(LEFT(A1339,3)="B60",20,IF(LEFT(A1339,3)="B12",30,25))+B1339*0.5+INT(Summary!M1352*20)</f>
        <v>551</v>
      </c>
      <c r="G1339">
        <f>ROUND(IF(OR(ISERROR(FIND(Summary!$P$89,CONCATENATE(C1339,D1339,E1339))),ISERROR(FIND(Summary!$Q$89,A1339))),Summary!$R$45,IF(H1339&gt;Summary!$V$3,Summary!$R$46,Summary!$R$45))*(B1339+30),0)</f>
        <v>11</v>
      </c>
      <c r="H1339">
        <f>IF(H1338&gt;Summary!$V$4,0,H1338+F1338)</f>
        <v>115778</v>
      </c>
      <c r="I1339" s="26">
        <f>DATE(YEAR(Summary!$V$2),MONTH(Summary!$V$2),DAY(Summary!$V$2)+INT(H1339/480))</f>
        <v>43831</v>
      </c>
      <c r="J1339" s="27">
        <f t="shared" si="21"/>
        <v>0.40138888888888885</v>
      </c>
    </row>
    <row r="1340" spans="1:10">
      <c r="A1340" t="str">
        <f>VLOOKUP(Summary!M1339,Summary!$P$13:$Q$24,2)</f>
        <v>B600-fire</v>
      </c>
      <c r="B1340">
        <f>ROUND(NORMINV(Summary!M1341,VLOOKUP(A1340,Summary!$Q$13:$S$24,3,FALSE),VLOOKUP(A1340,Summary!$Q$13:$S$24,3,FALSE)/6),-1)</f>
        <v>310</v>
      </c>
      <c r="C1340" t="str">
        <f>IF(AND(H1340=0,C1339=Summary!$P$2),Summary!$Q$2,IF(AND(H1340=0,C1339=Summary!$Q$2),Summary!$R$2,C1339))</f>
        <v>Jared</v>
      </c>
      <c r="D1340" t="str">
        <f>IF(C1340=Summary!$P$26,VLOOKUP(Summary!M1347,Summary!$Q$26:$R$27,2),IF('Run Data'!C1340=Summary!$P$28,VLOOKUP(Summary!M1347,Summary!$Q$28:$R$29,2),VLOOKUP(Summary!M1347,Summary!$Q$30:$R$32,2)))</f>
        <v>Sprig 2</v>
      </c>
      <c r="E1340" t="str">
        <f>VLOOKUP(Summary!M1350,Summary!$P$42:$Q$43,2)</f>
        <v>86</v>
      </c>
      <c r="F1340">
        <f>IF(LEFT(A1340,3)="B60",20,IF(LEFT(A1340,3)="B12",30,25))+B1340*0.5+INT(Summary!M1353*20)</f>
        <v>183</v>
      </c>
      <c r="G1340">
        <f>ROUND(IF(OR(ISERROR(FIND(Summary!$P$89,CONCATENATE(C1340,D1340,E1340))),ISERROR(FIND(Summary!$Q$89,A1340))),Summary!$R$45,IF(H1340&gt;Summary!$V$3,Summary!$R$46,Summary!$R$45))*(B1340+30),0)</f>
        <v>3</v>
      </c>
      <c r="H1340">
        <f>IF(H1339&gt;Summary!$V$4,0,H1339+F1339)</f>
        <v>116329</v>
      </c>
      <c r="I1340" s="26">
        <f>DATE(YEAR(Summary!$V$2),MONTH(Summary!$V$2),DAY(Summary!$V$2)+INT(H1340/480))</f>
        <v>43832</v>
      </c>
      <c r="J1340" s="27">
        <f t="shared" si="21"/>
        <v>0.45069444444444445</v>
      </c>
    </row>
    <row r="1341" spans="1:10">
      <c r="A1341" t="str">
        <f>VLOOKUP(Summary!M1340,Summary!$P$13:$Q$24,2)</f>
        <v>B1700-lime</v>
      </c>
      <c r="B1341">
        <f>ROUND(NORMINV(Summary!M1342,VLOOKUP(A1341,Summary!$Q$13:$S$24,3,FALSE),VLOOKUP(A1341,Summary!$Q$13:$S$24,3,FALSE)/6),-1)</f>
        <v>330</v>
      </c>
      <c r="C1341" t="str">
        <f>IF(AND(H1341=0,C1340=Summary!$P$2),Summary!$Q$2,IF(AND(H1341=0,C1340=Summary!$Q$2),Summary!$R$2,C1340))</f>
        <v>Jared</v>
      </c>
      <c r="D1341" t="str">
        <f>IF(C1341=Summary!$P$26,VLOOKUP(Summary!M1348,Summary!$Q$26:$R$27,2),IF('Run Data'!C1341=Summary!$P$28,VLOOKUP(Summary!M1348,Summary!$Q$28:$R$29,2),VLOOKUP(Summary!M1348,Summary!$Q$30:$R$32,2)))</f>
        <v>Sprig 2</v>
      </c>
      <c r="E1341" t="str">
        <f>VLOOKUP(Summary!M1351,Summary!$P$42:$Q$43,2)</f>
        <v>86</v>
      </c>
      <c r="F1341">
        <f>IF(LEFT(A1341,3)="B60",20,IF(LEFT(A1341,3)="B12",30,25))+B1341*0.5+INT(Summary!M1354*20)</f>
        <v>208</v>
      </c>
      <c r="G1341">
        <f>ROUND(IF(OR(ISERROR(FIND(Summary!$P$89,CONCATENATE(C1341,D1341,E1341))),ISERROR(FIND(Summary!$Q$89,A1341))),Summary!$R$45,IF(H1341&gt;Summary!$V$3,Summary!$R$46,Summary!$R$45))*(B1341+30),0)</f>
        <v>43</v>
      </c>
      <c r="H1341">
        <f>IF(H1340&gt;Summary!$V$4,0,H1340+F1340)</f>
        <v>116512</v>
      </c>
      <c r="I1341" s="26">
        <f>DATE(YEAR(Summary!$V$2),MONTH(Summary!$V$2),DAY(Summary!$V$2)+INT(H1341/480))</f>
        <v>43832</v>
      </c>
      <c r="J1341" s="27">
        <f t="shared" si="21"/>
        <v>0.57777777777777783</v>
      </c>
    </row>
    <row r="1342" spans="1:10">
      <c r="A1342" t="str">
        <f>VLOOKUP(Summary!M1341,Summary!$P$13:$Q$24,2)</f>
        <v>B600-sky</v>
      </c>
      <c r="B1342">
        <f>ROUND(NORMINV(Summary!M1343,VLOOKUP(A1342,Summary!$Q$13:$S$24,3,FALSE),VLOOKUP(A1342,Summary!$Q$13:$S$24,3,FALSE)/6),-1)</f>
        <v>610</v>
      </c>
      <c r="C1342" t="str">
        <f>IF(AND(H1342=0,C1341=Summary!$P$2),Summary!$Q$2,IF(AND(H1342=0,C1341=Summary!$Q$2),Summary!$R$2,C1341))</f>
        <v>Jared</v>
      </c>
      <c r="D1342" t="str">
        <f>IF(C1342=Summary!$P$26,VLOOKUP(Summary!M1349,Summary!$Q$26:$R$27,2),IF('Run Data'!C1342=Summary!$P$28,VLOOKUP(Summary!M1349,Summary!$Q$28:$R$29,2),VLOOKUP(Summary!M1349,Summary!$Q$30:$R$32,2)))</f>
        <v>Sprig 3</v>
      </c>
      <c r="E1342" t="str">
        <f>VLOOKUP(Summary!M1352,Summary!$P$42:$Q$43,2)</f>
        <v>86</v>
      </c>
      <c r="F1342">
        <f>IF(LEFT(A1342,3)="B60",20,IF(LEFT(A1342,3)="B12",30,25))+B1342*0.5+INT(Summary!M1355*20)</f>
        <v>330</v>
      </c>
      <c r="G1342">
        <f>ROUND(IF(OR(ISERROR(FIND(Summary!$P$89,CONCATENATE(C1342,D1342,E1342))),ISERROR(FIND(Summary!$Q$89,A1342))),Summary!$R$45,IF(H1342&gt;Summary!$V$3,Summary!$R$46,Summary!$R$45))*(B1342+30),0)</f>
        <v>6</v>
      </c>
      <c r="H1342">
        <f>IF(H1341&gt;Summary!$V$4,0,H1341+F1341)</f>
        <v>116720</v>
      </c>
      <c r="I1342" s="26">
        <f>DATE(YEAR(Summary!$V$2),MONTH(Summary!$V$2),DAY(Summary!$V$2)+INT(H1342/480))</f>
        <v>43833</v>
      </c>
      <c r="J1342" s="27">
        <f t="shared" si="21"/>
        <v>0.3888888888888889</v>
      </c>
    </row>
    <row r="1343" spans="1:10">
      <c r="A1343" t="str">
        <f>VLOOKUP(Summary!M1342,Summary!$P$13:$Q$24,2)</f>
        <v>B600-fire</v>
      </c>
      <c r="B1343">
        <f>ROUND(NORMINV(Summary!M1344,VLOOKUP(A1343,Summary!$Q$13:$S$24,3,FALSE),VLOOKUP(A1343,Summary!$Q$13:$S$24,3,FALSE)/6),-1)</f>
        <v>350</v>
      </c>
      <c r="C1343" t="str">
        <f>IF(AND(H1343=0,C1342=Summary!$P$2),Summary!$Q$2,IF(AND(H1343=0,C1342=Summary!$Q$2),Summary!$R$2,C1342))</f>
        <v>Jared</v>
      </c>
      <c r="D1343" t="str">
        <f>IF(C1343=Summary!$P$26,VLOOKUP(Summary!M1350,Summary!$Q$26:$R$27,2),IF('Run Data'!C1343=Summary!$P$28,VLOOKUP(Summary!M1350,Summary!$Q$28:$R$29,2),VLOOKUP(Summary!M1350,Summary!$Q$30:$R$32,2)))</f>
        <v>Sprig 1</v>
      </c>
      <c r="E1343" t="str">
        <f>VLOOKUP(Summary!M1353,Summary!$P$42:$Q$43,2)</f>
        <v>86</v>
      </c>
      <c r="F1343">
        <f>IF(LEFT(A1343,3)="B60",20,IF(LEFT(A1343,3)="B12",30,25))+B1343*0.5+INT(Summary!M1356*20)</f>
        <v>210</v>
      </c>
      <c r="G1343">
        <f>ROUND(IF(OR(ISERROR(FIND(Summary!$P$89,CONCATENATE(C1343,D1343,E1343))),ISERROR(FIND(Summary!$Q$89,A1343))),Summary!$R$45,IF(H1343&gt;Summary!$V$3,Summary!$R$46,Summary!$R$45))*(B1343+30),0)</f>
        <v>4</v>
      </c>
      <c r="H1343">
        <f>IF(H1342&gt;Summary!$V$4,0,H1342+F1342)</f>
        <v>117050</v>
      </c>
      <c r="I1343" s="26">
        <f>DATE(YEAR(Summary!$V$2),MONTH(Summary!$V$2),DAY(Summary!$V$2)+INT(H1343/480))</f>
        <v>43833</v>
      </c>
      <c r="J1343" s="27">
        <f t="shared" si="21"/>
        <v>0.61805555555555558</v>
      </c>
    </row>
    <row r="1344" spans="1:10">
      <c r="A1344" t="str">
        <f>VLOOKUP(Summary!M1343,Summary!$P$13:$Q$24,2)</f>
        <v>B1700-lime</v>
      </c>
      <c r="B1344">
        <f>ROUND(NORMINV(Summary!M1345,VLOOKUP(A1344,Summary!$Q$13:$S$24,3,FALSE),VLOOKUP(A1344,Summary!$Q$13:$S$24,3,FALSE)/6),-1)</f>
        <v>260</v>
      </c>
      <c r="C1344" t="str">
        <f>IF(AND(H1344=0,C1343=Summary!$P$2),Summary!$Q$2,IF(AND(H1344=0,C1343=Summary!$Q$2),Summary!$R$2,C1343))</f>
        <v>Jared</v>
      </c>
      <c r="D1344" t="str">
        <f>IF(C1344=Summary!$P$26,VLOOKUP(Summary!M1351,Summary!$Q$26:$R$27,2),IF('Run Data'!C1344=Summary!$P$28,VLOOKUP(Summary!M1351,Summary!$Q$28:$R$29,2),VLOOKUP(Summary!M1351,Summary!$Q$30:$R$32,2)))</f>
        <v>Sprig 2</v>
      </c>
      <c r="E1344" t="str">
        <f>VLOOKUP(Summary!M1354,Summary!$P$42:$Q$43,2)</f>
        <v>87b</v>
      </c>
      <c r="F1344">
        <f>IF(LEFT(A1344,3)="B60",20,IF(LEFT(A1344,3)="B12",30,25))+B1344*0.5+INT(Summary!M1357*20)</f>
        <v>167</v>
      </c>
      <c r="G1344">
        <f>ROUND(IF(OR(ISERROR(FIND(Summary!$P$89,CONCATENATE(C1344,D1344,E1344))),ISERROR(FIND(Summary!$Q$89,A1344))),Summary!$R$45,IF(H1344&gt;Summary!$V$3,Summary!$R$46,Summary!$R$45))*(B1344+30),0)</f>
        <v>3</v>
      </c>
      <c r="H1344">
        <f>IF(H1343&gt;Summary!$V$4,0,H1343+F1343)</f>
        <v>117260</v>
      </c>
      <c r="I1344" s="26">
        <f>DATE(YEAR(Summary!$V$2),MONTH(Summary!$V$2),DAY(Summary!$V$2)+INT(H1344/480))</f>
        <v>43834</v>
      </c>
      <c r="J1344" s="27">
        <f t="shared" si="21"/>
        <v>0.43055555555555558</v>
      </c>
    </row>
    <row r="1345" spans="1:10">
      <c r="A1345" t="str">
        <f>VLOOKUP(Summary!M1344,Summary!$P$13:$Q$24,2)</f>
        <v>B600-lime</v>
      </c>
      <c r="B1345">
        <f>ROUND(NORMINV(Summary!M1346,VLOOKUP(A1345,Summary!$Q$13:$S$24,3,FALSE),VLOOKUP(A1345,Summary!$Q$13:$S$24,3,FALSE)/6),-1)</f>
        <v>330</v>
      </c>
      <c r="C1345" t="str">
        <f>IF(AND(H1345=0,C1344=Summary!$P$2),Summary!$Q$2,IF(AND(H1345=0,C1344=Summary!$Q$2),Summary!$R$2,C1344))</f>
        <v>Jared</v>
      </c>
      <c r="D1345" t="str">
        <f>IF(C1345=Summary!$P$26,VLOOKUP(Summary!M1352,Summary!$Q$26:$R$27,2),IF('Run Data'!C1345=Summary!$P$28,VLOOKUP(Summary!M1352,Summary!$Q$28:$R$29,2),VLOOKUP(Summary!M1352,Summary!$Q$30:$R$32,2)))</f>
        <v>Sprig 1</v>
      </c>
      <c r="E1345" t="str">
        <f>VLOOKUP(Summary!M1355,Summary!$P$42:$Q$43,2)</f>
        <v>86</v>
      </c>
      <c r="F1345">
        <f>IF(LEFT(A1345,3)="B60",20,IF(LEFT(A1345,3)="B12",30,25))+B1345*0.5+INT(Summary!M1358*20)</f>
        <v>203</v>
      </c>
      <c r="G1345">
        <f>ROUND(IF(OR(ISERROR(FIND(Summary!$P$89,CONCATENATE(C1345,D1345,E1345))),ISERROR(FIND(Summary!$Q$89,A1345))),Summary!$R$45,IF(H1345&gt;Summary!$V$3,Summary!$R$46,Summary!$R$45))*(B1345+30),0)</f>
        <v>4</v>
      </c>
      <c r="H1345">
        <f>IF(H1344&gt;Summary!$V$4,0,H1344+F1344)</f>
        <v>117427</v>
      </c>
      <c r="I1345" s="26">
        <f>DATE(YEAR(Summary!$V$2),MONTH(Summary!$V$2),DAY(Summary!$V$2)+INT(H1345/480))</f>
        <v>43834</v>
      </c>
      <c r="J1345" s="27">
        <f t="shared" si="21"/>
        <v>0.54652777777777783</v>
      </c>
    </row>
    <row r="1346" spans="1:10">
      <c r="A1346" t="str">
        <f>VLOOKUP(Summary!M1345,Summary!$P$13:$Q$24,2)</f>
        <v>B600-plum</v>
      </c>
      <c r="B1346">
        <f>ROUND(NORMINV(Summary!M1347,VLOOKUP(A1346,Summary!$Q$13:$S$24,3,FALSE),VLOOKUP(A1346,Summary!$Q$13:$S$24,3,FALSE)/6),-1)</f>
        <v>200</v>
      </c>
      <c r="C1346" t="str">
        <f>IF(AND(H1346=0,C1345=Summary!$P$2),Summary!$Q$2,IF(AND(H1346=0,C1345=Summary!$Q$2),Summary!$R$2,C1345))</f>
        <v>Jared</v>
      </c>
      <c r="D1346" t="str">
        <f>IF(C1346=Summary!$P$26,VLOOKUP(Summary!M1353,Summary!$Q$26:$R$27,2),IF('Run Data'!C1346=Summary!$P$28,VLOOKUP(Summary!M1353,Summary!$Q$28:$R$29,2),VLOOKUP(Summary!M1353,Summary!$Q$30:$R$32,2)))</f>
        <v>Sprig 2</v>
      </c>
      <c r="E1346" t="str">
        <f>VLOOKUP(Summary!M1356,Summary!$P$42:$Q$43,2)</f>
        <v>86</v>
      </c>
      <c r="F1346">
        <f>IF(LEFT(A1346,3)="B60",20,IF(LEFT(A1346,3)="B12",30,25))+B1346*0.5+INT(Summary!M1359*20)</f>
        <v>135</v>
      </c>
      <c r="G1346">
        <f>ROUND(IF(OR(ISERROR(FIND(Summary!$P$89,CONCATENATE(C1346,D1346,E1346))),ISERROR(FIND(Summary!$Q$89,A1346))),Summary!$R$45,IF(H1346&gt;Summary!$V$3,Summary!$R$46,Summary!$R$45))*(B1346+30),0)</f>
        <v>2</v>
      </c>
      <c r="H1346">
        <f>IF(H1345&gt;Summary!$V$4,0,H1345+F1345)</f>
        <v>117630</v>
      </c>
      <c r="I1346" s="26">
        <f>DATE(YEAR(Summary!$V$2),MONTH(Summary!$V$2),DAY(Summary!$V$2)+INT(H1346/480))</f>
        <v>43835</v>
      </c>
      <c r="J1346" s="27">
        <f t="shared" si="21"/>
        <v>0.35416666666666669</v>
      </c>
    </row>
    <row r="1347" spans="1:10">
      <c r="A1347" t="str">
        <f>VLOOKUP(Summary!M1346,Summary!$P$13:$Q$24,2)</f>
        <v>B1700-plum</v>
      </c>
      <c r="B1347">
        <f>ROUND(NORMINV(Summary!M1348,VLOOKUP(A1347,Summary!$Q$13:$S$24,3,FALSE),VLOOKUP(A1347,Summary!$Q$13:$S$24,3,FALSE)/6),-1)</f>
        <v>280</v>
      </c>
      <c r="C1347" t="str">
        <f>IF(AND(H1347=0,C1346=Summary!$P$2),Summary!$Q$2,IF(AND(H1347=0,C1346=Summary!$Q$2),Summary!$R$2,C1346))</f>
        <v>Jared</v>
      </c>
      <c r="D1347" t="str">
        <f>IF(C1347=Summary!$P$26,VLOOKUP(Summary!M1354,Summary!$Q$26:$R$27,2),IF('Run Data'!C1347=Summary!$P$28,VLOOKUP(Summary!M1354,Summary!$Q$28:$R$29,2),VLOOKUP(Summary!M1354,Summary!$Q$30:$R$32,2)))</f>
        <v>Sprig 3</v>
      </c>
      <c r="E1347" t="str">
        <f>VLOOKUP(Summary!M1357,Summary!$P$42:$Q$43,2)</f>
        <v>86</v>
      </c>
      <c r="F1347">
        <f>IF(LEFT(A1347,3)="B60",20,IF(LEFT(A1347,3)="B12",30,25))+B1347*0.5+INT(Summary!M1360*20)</f>
        <v>172</v>
      </c>
      <c r="G1347">
        <f>ROUND(IF(OR(ISERROR(FIND(Summary!$P$89,CONCATENATE(C1347,D1347,E1347))),ISERROR(FIND(Summary!$Q$89,A1347))),Summary!$R$45,IF(H1347&gt;Summary!$V$3,Summary!$R$46,Summary!$R$45))*(B1347+30),0)</f>
        <v>37</v>
      </c>
      <c r="H1347">
        <f>IF(H1346&gt;Summary!$V$4,0,H1346+F1346)</f>
        <v>117765</v>
      </c>
      <c r="I1347" s="26">
        <f>DATE(YEAR(Summary!$V$2),MONTH(Summary!$V$2),DAY(Summary!$V$2)+INT(H1347/480))</f>
        <v>43835</v>
      </c>
      <c r="J1347" s="27">
        <f t="shared" si="21"/>
        <v>0.44791666666666669</v>
      </c>
    </row>
    <row r="1348" spans="1:10">
      <c r="A1348" t="str">
        <f>VLOOKUP(Summary!M1347,Summary!$P$13:$Q$24,2)</f>
        <v>B1200-fire</v>
      </c>
      <c r="B1348">
        <f>ROUND(NORMINV(Summary!M1349,VLOOKUP(A1348,Summary!$Q$13:$S$24,3,FALSE),VLOOKUP(A1348,Summary!$Q$13:$S$24,3,FALSE)/6),-1)</f>
        <v>1260</v>
      </c>
      <c r="C1348" t="str">
        <f>IF(AND(H1348=0,C1347=Summary!$P$2),Summary!$Q$2,IF(AND(H1348=0,C1347=Summary!$Q$2),Summary!$R$2,C1347))</f>
        <v>Jared</v>
      </c>
      <c r="D1348" t="str">
        <f>IF(C1348=Summary!$P$26,VLOOKUP(Summary!M1355,Summary!$Q$26:$R$27,2),IF('Run Data'!C1348=Summary!$P$28,VLOOKUP(Summary!M1355,Summary!$Q$28:$R$29,2),VLOOKUP(Summary!M1355,Summary!$Q$30:$R$32,2)))</f>
        <v>Sprig 2</v>
      </c>
      <c r="E1348" t="str">
        <f>VLOOKUP(Summary!M1358,Summary!$P$42:$Q$43,2)</f>
        <v>87b</v>
      </c>
      <c r="F1348">
        <f>IF(LEFT(A1348,3)="B60",20,IF(LEFT(A1348,3)="B12",30,25))+B1348*0.5+INT(Summary!M1361*20)</f>
        <v>667</v>
      </c>
      <c r="G1348">
        <f>ROUND(IF(OR(ISERROR(FIND(Summary!$P$89,CONCATENATE(C1348,D1348,E1348))),ISERROR(FIND(Summary!$Q$89,A1348))),Summary!$R$45,IF(H1348&gt;Summary!$V$3,Summary!$R$46,Summary!$R$45))*(B1348+30),0)</f>
        <v>13</v>
      </c>
      <c r="H1348">
        <f>IF(H1347&gt;Summary!$V$4,0,H1347+F1347)</f>
        <v>117937</v>
      </c>
      <c r="I1348" s="26">
        <f>DATE(YEAR(Summary!$V$2),MONTH(Summary!$V$2),DAY(Summary!$V$2)+INT(H1348/480))</f>
        <v>43835</v>
      </c>
      <c r="J1348" s="27">
        <f t="shared" si="21"/>
        <v>0.56736111111111109</v>
      </c>
    </row>
    <row r="1349" spans="1:10">
      <c r="A1349" t="str">
        <f>VLOOKUP(Summary!M1348,Summary!$P$13:$Q$24,2)</f>
        <v>B1200-sky</v>
      </c>
      <c r="B1349">
        <f>ROUND(NORMINV(Summary!M1350,VLOOKUP(A1349,Summary!$Q$13:$S$24,3,FALSE),VLOOKUP(A1349,Summary!$Q$13:$S$24,3,FALSE)/6),-1)</f>
        <v>940</v>
      </c>
      <c r="C1349" t="str">
        <f>IF(AND(H1349=0,C1348=Summary!$P$2),Summary!$Q$2,IF(AND(H1349=0,C1348=Summary!$Q$2),Summary!$R$2,C1348))</f>
        <v>Jared</v>
      </c>
      <c r="D1349" t="str">
        <f>IF(C1349=Summary!$P$26,VLOOKUP(Summary!M1356,Summary!$Q$26:$R$27,2),IF('Run Data'!C1349=Summary!$P$28,VLOOKUP(Summary!M1356,Summary!$Q$28:$R$29,2),VLOOKUP(Summary!M1356,Summary!$Q$30:$R$32,2)))</f>
        <v>Sprig 3</v>
      </c>
      <c r="E1349" t="str">
        <f>VLOOKUP(Summary!M1359,Summary!$P$42:$Q$43,2)</f>
        <v>86</v>
      </c>
      <c r="F1349">
        <f>IF(LEFT(A1349,3)="B60",20,IF(LEFT(A1349,3)="B12",30,25))+B1349*0.5+INT(Summary!M1362*20)</f>
        <v>518</v>
      </c>
      <c r="G1349">
        <f>ROUND(IF(OR(ISERROR(FIND(Summary!$P$89,CONCATENATE(C1349,D1349,E1349))),ISERROR(FIND(Summary!$Q$89,A1349))),Summary!$R$45,IF(H1349&gt;Summary!$V$3,Summary!$R$46,Summary!$R$45))*(B1349+30),0)</f>
        <v>10</v>
      </c>
      <c r="H1349">
        <f>IF(H1348&gt;Summary!$V$4,0,H1348+F1348)</f>
        <v>118604</v>
      </c>
      <c r="I1349" s="26">
        <f>DATE(YEAR(Summary!$V$2),MONTH(Summary!$V$2),DAY(Summary!$V$2)+INT(H1349/480))</f>
        <v>43837</v>
      </c>
      <c r="J1349" s="27">
        <f t="shared" si="21"/>
        <v>0.36388888888888887</v>
      </c>
    </row>
    <row r="1350" spans="1:10">
      <c r="A1350" t="str">
        <f>VLOOKUP(Summary!M1349,Summary!$P$13:$Q$24,2)</f>
        <v>B1200-lime</v>
      </c>
      <c r="B1350">
        <f>ROUND(NORMINV(Summary!M1351,VLOOKUP(A1350,Summary!$Q$13:$S$24,3,FALSE),VLOOKUP(A1350,Summary!$Q$13:$S$24,3,FALSE)/6),-1)</f>
        <v>800</v>
      </c>
      <c r="C1350" t="str">
        <f>IF(AND(H1350=0,C1349=Summary!$P$2),Summary!$Q$2,IF(AND(H1350=0,C1349=Summary!$Q$2),Summary!$R$2,C1349))</f>
        <v>Jared</v>
      </c>
      <c r="D1350" t="str">
        <f>IF(C1350=Summary!$P$26,VLOOKUP(Summary!M1357,Summary!$Q$26:$R$27,2),IF('Run Data'!C1350=Summary!$P$28,VLOOKUP(Summary!M1357,Summary!$Q$28:$R$29,2),VLOOKUP(Summary!M1357,Summary!$Q$30:$R$32,2)))</f>
        <v>Sprig 3</v>
      </c>
      <c r="E1350" t="str">
        <f>VLOOKUP(Summary!M1360,Summary!$P$42:$Q$43,2)</f>
        <v>86</v>
      </c>
      <c r="F1350">
        <f>IF(LEFT(A1350,3)="B60",20,IF(LEFT(A1350,3)="B12",30,25))+B1350*0.5+INT(Summary!M1363*20)</f>
        <v>440</v>
      </c>
      <c r="G1350">
        <f>ROUND(IF(OR(ISERROR(FIND(Summary!$P$89,CONCATENATE(C1350,D1350,E1350))),ISERROR(FIND(Summary!$Q$89,A1350))),Summary!$R$45,IF(H1350&gt;Summary!$V$3,Summary!$R$46,Summary!$R$45))*(B1350+30),0)</f>
        <v>8</v>
      </c>
      <c r="H1350">
        <f>IF(H1349&gt;Summary!$V$4,0,H1349+F1349)</f>
        <v>119122</v>
      </c>
      <c r="I1350" s="26">
        <f>DATE(YEAR(Summary!$V$2),MONTH(Summary!$V$2),DAY(Summary!$V$2)+INT(H1350/480))</f>
        <v>43838</v>
      </c>
      <c r="J1350" s="27">
        <f t="shared" si="21"/>
        <v>0.39027777777777778</v>
      </c>
    </row>
    <row r="1351" spans="1:10">
      <c r="A1351" t="str">
        <f>VLOOKUP(Summary!M1350,Summary!$P$13:$Q$24,2)</f>
        <v>B600-sky</v>
      </c>
      <c r="B1351">
        <f>ROUND(NORMINV(Summary!M1352,VLOOKUP(A1351,Summary!$Q$13:$S$24,3,FALSE),VLOOKUP(A1351,Summary!$Q$13:$S$24,3,FALSE)/6),-1)</f>
        <v>370</v>
      </c>
      <c r="C1351" t="str">
        <f>IF(AND(H1351=0,C1350=Summary!$P$2),Summary!$Q$2,IF(AND(H1351=0,C1350=Summary!$Q$2),Summary!$R$2,C1350))</f>
        <v>Jared</v>
      </c>
      <c r="D1351" t="str">
        <f>IF(C1351=Summary!$P$26,VLOOKUP(Summary!M1358,Summary!$Q$26:$R$27,2),IF('Run Data'!C1351=Summary!$P$28,VLOOKUP(Summary!M1358,Summary!$Q$28:$R$29,2),VLOOKUP(Summary!M1358,Summary!$Q$30:$R$32,2)))</f>
        <v>Sprig 3</v>
      </c>
      <c r="E1351" t="str">
        <f>VLOOKUP(Summary!M1361,Summary!$P$42:$Q$43,2)</f>
        <v>86</v>
      </c>
      <c r="F1351">
        <f>IF(LEFT(A1351,3)="B60",20,IF(LEFT(A1351,3)="B12",30,25))+B1351*0.5+INT(Summary!M1364*20)</f>
        <v>217</v>
      </c>
      <c r="G1351">
        <f>ROUND(IF(OR(ISERROR(FIND(Summary!$P$89,CONCATENATE(C1351,D1351,E1351))),ISERROR(FIND(Summary!$Q$89,A1351))),Summary!$R$45,IF(H1351&gt;Summary!$V$3,Summary!$R$46,Summary!$R$45))*(B1351+30),0)</f>
        <v>4</v>
      </c>
      <c r="H1351">
        <f>IF(H1350&gt;Summary!$V$4,0,H1350+F1350)</f>
        <v>119562</v>
      </c>
      <c r="I1351" s="26">
        <f>DATE(YEAR(Summary!$V$2),MONTH(Summary!$V$2),DAY(Summary!$V$2)+INT(H1351/480))</f>
        <v>43839</v>
      </c>
      <c r="J1351" s="27">
        <f t="shared" si="21"/>
        <v>0.36249999999999999</v>
      </c>
    </row>
    <row r="1352" spans="1:10">
      <c r="A1352" t="str">
        <f>VLOOKUP(Summary!M1351,Summary!$P$13:$Q$24,2)</f>
        <v>B1200-fire</v>
      </c>
      <c r="B1352">
        <f>ROUND(NORMINV(Summary!M1353,VLOOKUP(A1352,Summary!$Q$13:$S$24,3,FALSE),VLOOKUP(A1352,Summary!$Q$13:$S$24,3,FALSE)/6),-1)</f>
        <v>1170</v>
      </c>
      <c r="C1352" t="str">
        <f>IF(AND(H1352=0,C1351=Summary!$P$2),Summary!$Q$2,IF(AND(H1352=0,C1351=Summary!$Q$2),Summary!$R$2,C1351))</f>
        <v>Jared</v>
      </c>
      <c r="D1352" t="str">
        <f>IF(C1352=Summary!$P$26,VLOOKUP(Summary!M1359,Summary!$Q$26:$R$27,2),IF('Run Data'!C1352=Summary!$P$28,VLOOKUP(Summary!M1359,Summary!$Q$28:$R$29,2),VLOOKUP(Summary!M1359,Summary!$Q$30:$R$32,2)))</f>
        <v>Sprig 3</v>
      </c>
      <c r="E1352" t="str">
        <f>VLOOKUP(Summary!M1362,Summary!$P$42:$Q$43,2)</f>
        <v>87b</v>
      </c>
      <c r="F1352">
        <f>IF(LEFT(A1352,3)="B60",20,IF(LEFT(A1352,3)="B12",30,25))+B1352*0.5+INT(Summary!M1365*20)</f>
        <v>617</v>
      </c>
      <c r="G1352">
        <f>ROUND(IF(OR(ISERROR(FIND(Summary!$P$89,CONCATENATE(C1352,D1352,E1352))),ISERROR(FIND(Summary!$Q$89,A1352))),Summary!$R$45,IF(H1352&gt;Summary!$V$3,Summary!$R$46,Summary!$R$45))*(B1352+30),0)</f>
        <v>12</v>
      </c>
      <c r="H1352">
        <f>IF(H1351&gt;Summary!$V$4,0,H1351+F1351)</f>
        <v>119779</v>
      </c>
      <c r="I1352" s="26">
        <f>DATE(YEAR(Summary!$V$2),MONTH(Summary!$V$2),DAY(Summary!$V$2)+INT(H1352/480))</f>
        <v>43839</v>
      </c>
      <c r="J1352" s="27">
        <f t="shared" si="21"/>
        <v>0.5131944444444444</v>
      </c>
    </row>
    <row r="1353" spans="1:10">
      <c r="A1353" t="str">
        <f>VLOOKUP(Summary!M1352,Summary!$P$13:$Q$24,2)</f>
        <v>B600-sky</v>
      </c>
      <c r="B1353">
        <f>ROUND(NORMINV(Summary!M1354,VLOOKUP(A1353,Summary!$Q$13:$S$24,3,FALSE),VLOOKUP(A1353,Summary!$Q$13:$S$24,3,FALSE)/6),-1)</f>
        <v>620</v>
      </c>
      <c r="C1353" t="str">
        <f>IF(AND(H1353=0,C1352=Summary!$P$2),Summary!$Q$2,IF(AND(H1353=0,C1352=Summary!$Q$2),Summary!$R$2,C1352))</f>
        <v>Jared</v>
      </c>
      <c r="D1353" t="str">
        <f>IF(C1353=Summary!$P$26,VLOOKUP(Summary!M1360,Summary!$Q$26:$R$27,2),IF('Run Data'!C1353=Summary!$P$28,VLOOKUP(Summary!M1360,Summary!$Q$28:$R$29,2),VLOOKUP(Summary!M1360,Summary!$Q$30:$R$32,2)))</f>
        <v>Sprig 2</v>
      </c>
      <c r="E1353" t="str">
        <f>VLOOKUP(Summary!M1363,Summary!$P$42:$Q$43,2)</f>
        <v>86</v>
      </c>
      <c r="F1353">
        <f>IF(LEFT(A1353,3)="B60",20,IF(LEFT(A1353,3)="B12",30,25))+B1353*0.5+INT(Summary!M1366*20)</f>
        <v>347</v>
      </c>
      <c r="G1353">
        <f>ROUND(IF(OR(ISERROR(FIND(Summary!$P$89,CONCATENATE(C1353,D1353,E1353))),ISERROR(FIND(Summary!$Q$89,A1353))),Summary!$R$45,IF(H1353&gt;Summary!$V$3,Summary!$R$46,Summary!$R$45))*(B1353+30),0)</f>
        <v>7</v>
      </c>
      <c r="H1353">
        <f>IF(H1352&gt;Summary!$V$4,0,H1352+F1352)</f>
        <v>120396</v>
      </c>
      <c r="I1353" s="26">
        <f>DATE(YEAR(Summary!$V$2),MONTH(Summary!$V$2),DAY(Summary!$V$2)+INT(H1353/480))</f>
        <v>43840</v>
      </c>
      <c r="J1353" s="27">
        <f t="shared" si="21"/>
        <v>0.60833333333333328</v>
      </c>
    </row>
    <row r="1354" spans="1:10">
      <c r="A1354" t="str">
        <f>VLOOKUP(Summary!M1353,Summary!$P$13:$Q$24,2)</f>
        <v>B1200-sky</v>
      </c>
      <c r="B1354">
        <f>ROUND(NORMINV(Summary!M1355,VLOOKUP(A1354,Summary!$Q$13:$S$24,3,FALSE),VLOOKUP(A1354,Summary!$Q$13:$S$24,3,FALSE)/6),-1)</f>
        <v>1080</v>
      </c>
      <c r="C1354" t="str">
        <f>IF(AND(H1354=0,C1353=Summary!$P$2),Summary!$Q$2,IF(AND(H1354=0,C1353=Summary!$Q$2),Summary!$R$2,C1353))</f>
        <v>Jared</v>
      </c>
      <c r="D1354" t="str">
        <f>IF(C1354=Summary!$P$26,VLOOKUP(Summary!M1361,Summary!$Q$26:$R$27,2),IF('Run Data'!C1354=Summary!$P$28,VLOOKUP(Summary!M1361,Summary!$Q$28:$R$29,2),VLOOKUP(Summary!M1361,Summary!$Q$30:$R$32,2)))</f>
        <v>Sprig 2</v>
      </c>
      <c r="E1354" t="str">
        <f>VLOOKUP(Summary!M1364,Summary!$P$42:$Q$43,2)</f>
        <v>86</v>
      </c>
      <c r="F1354">
        <f>IF(LEFT(A1354,3)="B60",20,IF(LEFT(A1354,3)="B12",30,25))+B1354*0.5+INT(Summary!M1367*20)</f>
        <v>581</v>
      </c>
      <c r="G1354">
        <f>ROUND(IF(OR(ISERROR(FIND(Summary!$P$89,CONCATENATE(C1354,D1354,E1354))),ISERROR(FIND(Summary!$Q$89,A1354))),Summary!$R$45,IF(H1354&gt;Summary!$V$3,Summary!$R$46,Summary!$R$45))*(B1354+30),0)</f>
        <v>11</v>
      </c>
      <c r="H1354">
        <f>IF(H1353&gt;Summary!$V$4,0,H1353+F1353)</f>
        <v>120743</v>
      </c>
      <c r="I1354" s="26">
        <f>DATE(YEAR(Summary!$V$2),MONTH(Summary!$V$2),DAY(Summary!$V$2)+INT(H1354/480))</f>
        <v>43841</v>
      </c>
      <c r="J1354" s="27">
        <f t="shared" si="21"/>
        <v>0.51597222222222217</v>
      </c>
    </row>
    <row r="1355" spans="1:10">
      <c r="A1355" t="str">
        <f>VLOOKUP(Summary!M1354,Summary!$P$13:$Q$24,2)</f>
        <v>B1700-lime</v>
      </c>
      <c r="B1355">
        <f>ROUND(NORMINV(Summary!M1356,VLOOKUP(A1355,Summary!$Q$13:$S$24,3,FALSE),VLOOKUP(A1355,Summary!$Q$13:$S$24,3,FALSE)/6),-1)</f>
        <v>450</v>
      </c>
      <c r="C1355" t="str">
        <f>IF(AND(H1355=0,C1354=Summary!$P$2),Summary!$Q$2,IF(AND(H1355=0,C1354=Summary!$Q$2),Summary!$R$2,C1354))</f>
        <v>Jared</v>
      </c>
      <c r="D1355" t="str">
        <f>IF(C1355=Summary!$P$26,VLOOKUP(Summary!M1362,Summary!$Q$26:$R$27,2),IF('Run Data'!C1355=Summary!$P$28,VLOOKUP(Summary!M1362,Summary!$Q$28:$R$29,2),VLOOKUP(Summary!M1362,Summary!$Q$30:$R$32,2)))</f>
        <v>Sprig 3</v>
      </c>
      <c r="E1355" t="str">
        <f>VLOOKUP(Summary!M1365,Summary!$P$42:$Q$43,2)</f>
        <v>86</v>
      </c>
      <c r="F1355">
        <f>IF(LEFT(A1355,3)="B60",20,IF(LEFT(A1355,3)="B12",30,25))+B1355*0.5+INT(Summary!M1368*20)</f>
        <v>250</v>
      </c>
      <c r="G1355">
        <f>ROUND(IF(OR(ISERROR(FIND(Summary!$P$89,CONCATENATE(C1355,D1355,E1355))),ISERROR(FIND(Summary!$Q$89,A1355))),Summary!$R$45,IF(H1355&gt;Summary!$V$3,Summary!$R$46,Summary!$R$45))*(B1355+30),0)</f>
        <v>58</v>
      </c>
      <c r="H1355">
        <f>IF(H1354&gt;Summary!$V$4,0,H1354+F1354)</f>
        <v>121324</v>
      </c>
      <c r="I1355" s="26">
        <f>DATE(YEAR(Summary!$V$2),MONTH(Summary!$V$2),DAY(Summary!$V$2)+INT(H1355/480))</f>
        <v>43842</v>
      </c>
      <c r="J1355" s="27">
        <f t="shared" si="21"/>
        <v>0.58611111111111114</v>
      </c>
    </row>
    <row r="1356" spans="1:10">
      <c r="A1356" t="str">
        <f>VLOOKUP(Summary!M1355,Summary!$P$13:$Q$24,2)</f>
        <v>B1200-plum</v>
      </c>
      <c r="B1356">
        <f>ROUND(NORMINV(Summary!M1357,VLOOKUP(A1356,Summary!$Q$13:$S$24,3,FALSE),VLOOKUP(A1356,Summary!$Q$13:$S$24,3,FALSE)/6),-1)</f>
        <v>480</v>
      </c>
      <c r="C1356" t="str">
        <f>IF(AND(H1356=0,C1355=Summary!$P$2),Summary!$Q$2,IF(AND(H1356=0,C1355=Summary!$Q$2),Summary!$R$2,C1355))</f>
        <v>Jared</v>
      </c>
      <c r="D1356" t="str">
        <f>IF(C1356=Summary!$P$26,VLOOKUP(Summary!M1363,Summary!$Q$26:$R$27,2),IF('Run Data'!C1356=Summary!$P$28,VLOOKUP(Summary!M1363,Summary!$Q$28:$R$29,2),VLOOKUP(Summary!M1363,Summary!$Q$30:$R$32,2)))</f>
        <v>Sprig 2</v>
      </c>
      <c r="E1356" t="str">
        <f>VLOOKUP(Summary!M1366,Summary!$P$42:$Q$43,2)</f>
        <v>87b</v>
      </c>
      <c r="F1356">
        <f>IF(LEFT(A1356,3)="B60",20,IF(LEFT(A1356,3)="B12",30,25))+B1356*0.5+INT(Summary!M1369*20)</f>
        <v>279</v>
      </c>
      <c r="G1356">
        <f>ROUND(IF(OR(ISERROR(FIND(Summary!$P$89,CONCATENATE(C1356,D1356,E1356))),ISERROR(FIND(Summary!$Q$89,A1356))),Summary!$R$45,IF(H1356&gt;Summary!$V$3,Summary!$R$46,Summary!$R$45))*(B1356+30),0)</f>
        <v>5</v>
      </c>
      <c r="H1356">
        <f>IF(H1355&gt;Summary!$V$4,0,H1355+F1355)</f>
        <v>121574</v>
      </c>
      <c r="I1356" s="26">
        <f>DATE(YEAR(Summary!$V$2),MONTH(Summary!$V$2),DAY(Summary!$V$2)+INT(H1356/480))</f>
        <v>43843</v>
      </c>
      <c r="J1356" s="27">
        <f t="shared" si="21"/>
        <v>0.42638888888888887</v>
      </c>
    </row>
    <row r="1357" spans="1:10">
      <c r="A1357" t="str">
        <f>VLOOKUP(Summary!M1356,Summary!$P$13:$Q$24,2)</f>
        <v>B1700-plum</v>
      </c>
      <c r="B1357">
        <f>ROUND(NORMINV(Summary!M1358,VLOOKUP(A1357,Summary!$Q$13:$S$24,3,FALSE),VLOOKUP(A1357,Summary!$Q$13:$S$24,3,FALSE)/6),-1)</f>
        <v>380</v>
      </c>
      <c r="C1357" t="str">
        <f>IF(AND(H1357=0,C1356=Summary!$P$2),Summary!$Q$2,IF(AND(H1357=0,C1356=Summary!$Q$2),Summary!$R$2,C1356))</f>
        <v>Jared</v>
      </c>
      <c r="D1357" t="str">
        <f>IF(C1357=Summary!$P$26,VLOOKUP(Summary!M1364,Summary!$Q$26:$R$27,2),IF('Run Data'!C1357=Summary!$P$28,VLOOKUP(Summary!M1364,Summary!$Q$28:$R$29,2),VLOOKUP(Summary!M1364,Summary!$Q$30:$R$32,2)))</f>
        <v>Sprig 3</v>
      </c>
      <c r="E1357" t="str">
        <f>VLOOKUP(Summary!M1367,Summary!$P$42:$Q$43,2)</f>
        <v>86</v>
      </c>
      <c r="F1357">
        <f>IF(LEFT(A1357,3)="B60",20,IF(LEFT(A1357,3)="B12",30,25))+B1357*0.5+INT(Summary!M1370*20)</f>
        <v>232</v>
      </c>
      <c r="G1357">
        <f>ROUND(IF(OR(ISERROR(FIND(Summary!$P$89,CONCATENATE(C1357,D1357,E1357))),ISERROR(FIND(Summary!$Q$89,A1357))),Summary!$R$45,IF(H1357&gt;Summary!$V$3,Summary!$R$46,Summary!$R$45))*(B1357+30),0)</f>
        <v>49</v>
      </c>
      <c r="H1357">
        <f>IF(H1356&gt;Summary!$V$4,0,H1356+F1356)</f>
        <v>121853</v>
      </c>
      <c r="I1357" s="26">
        <f>DATE(YEAR(Summary!$V$2),MONTH(Summary!$V$2),DAY(Summary!$V$2)+INT(H1357/480))</f>
        <v>43843</v>
      </c>
      <c r="J1357" s="27">
        <f t="shared" si="21"/>
        <v>0.62013888888888891</v>
      </c>
    </row>
    <row r="1358" spans="1:10">
      <c r="A1358" t="str">
        <f>VLOOKUP(Summary!M1357,Summary!$P$13:$Q$24,2)</f>
        <v>B1200-lime</v>
      </c>
      <c r="B1358">
        <f>ROUND(NORMINV(Summary!M1359,VLOOKUP(A1358,Summary!$Q$13:$S$24,3,FALSE),VLOOKUP(A1358,Summary!$Q$13:$S$24,3,FALSE)/6),-1)</f>
        <v>900</v>
      </c>
      <c r="C1358" t="str">
        <f>IF(AND(H1358=0,C1357=Summary!$P$2),Summary!$Q$2,IF(AND(H1358=0,C1357=Summary!$Q$2),Summary!$R$2,C1357))</f>
        <v>Jared</v>
      </c>
      <c r="D1358" t="str">
        <f>IF(C1358=Summary!$P$26,VLOOKUP(Summary!M1365,Summary!$Q$26:$R$27,2),IF('Run Data'!C1358=Summary!$P$28,VLOOKUP(Summary!M1365,Summary!$Q$28:$R$29,2),VLOOKUP(Summary!M1365,Summary!$Q$30:$R$32,2)))</f>
        <v>Sprig 1</v>
      </c>
      <c r="E1358" t="str">
        <f>VLOOKUP(Summary!M1368,Summary!$P$42:$Q$43,2)</f>
        <v>86</v>
      </c>
      <c r="F1358">
        <f>IF(LEFT(A1358,3)="B60",20,IF(LEFT(A1358,3)="B12",30,25))+B1358*0.5+INT(Summary!M1371*20)</f>
        <v>489</v>
      </c>
      <c r="G1358">
        <f>ROUND(IF(OR(ISERROR(FIND(Summary!$P$89,CONCATENATE(C1358,D1358,E1358))),ISERROR(FIND(Summary!$Q$89,A1358))),Summary!$R$45,IF(H1358&gt;Summary!$V$3,Summary!$R$46,Summary!$R$45))*(B1358+30),0)</f>
        <v>9</v>
      </c>
      <c r="H1358">
        <f>IF(H1357&gt;Summary!$V$4,0,H1357+F1357)</f>
        <v>122085</v>
      </c>
      <c r="I1358" s="26">
        <f>DATE(YEAR(Summary!$V$2),MONTH(Summary!$V$2),DAY(Summary!$V$2)+INT(H1358/480))</f>
        <v>43844</v>
      </c>
      <c r="J1358" s="27">
        <f t="shared" si="21"/>
        <v>0.44791666666666669</v>
      </c>
    </row>
    <row r="1359" spans="1:10">
      <c r="A1359" t="str">
        <f>VLOOKUP(Summary!M1358,Summary!$P$13:$Q$24,2)</f>
        <v>B1700-lime</v>
      </c>
      <c r="B1359">
        <f>ROUND(NORMINV(Summary!M1360,VLOOKUP(A1359,Summary!$Q$13:$S$24,3,FALSE),VLOOKUP(A1359,Summary!$Q$13:$S$24,3,FALSE)/6),-1)</f>
        <v>380</v>
      </c>
      <c r="C1359" t="str">
        <f>IF(AND(H1359=0,C1358=Summary!$P$2),Summary!$Q$2,IF(AND(H1359=0,C1358=Summary!$Q$2),Summary!$R$2,C1358))</f>
        <v>Jared</v>
      </c>
      <c r="D1359" t="str">
        <f>IF(C1359=Summary!$P$26,VLOOKUP(Summary!M1366,Summary!$Q$26:$R$27,2),IF('Run Data'!C1359=Summary!$P$28,VLOOKUP(Summary!M1366,Summary!$Q$28:$R$29,2),VLOOKUP(Summary!M1366,Summary!$Q$30:$R$32,2)))</f>
        <v>Sprig 3</v>
      </c>
      <c r="E1359" t="str">
        <f>VLOOKUP(Summary!M1369,Summary!$P$42:$Q$43,2)</f>
        <v>86</v>
      </c>
      <c r="F1359">
        <f>IF(LEFT(A1359,3)="B60",20,IF(LEFT(A1359,3)="B12",30,25))+B1359*0.5+INT(Summary!M1372*20)</f>
        <v>222</v>
      </c>
      <c r="G1359">
        <f>ROUND(IF(OR(ISERROR(FIND(Summary!$P$89,CONCATENATE(C1359,D1359,E1359))),ISERROR(FIND(Summary!$Q$89,A1359))),Summary!$R$45,IF(H1359&gt;Summary!$V$3,Summary!$R$46,Summary!$R$45))*(B1359+30),0)</f>
        <v>49</v>
      </c>
      <c r="H1359">
        <f>IF(H1358&gt;Summary!$V$4,0,H1358+F1358)</f>
        <v>122574</v>
      </c>
      <c r="I1359" s="26">
        <f>DATE(YEAR(Summary!$V$2),MONTH(Summary!$V$2),DAY(Summary!$V$2)+INT(H1359/480))</f>
        <v>43845</v>
      </c>
      <c r="J1359" s="27">
        <f t="shared" si="21"/>
        <v>0.45416666666666666</v>
      </c>
    </row>
    <row r="1360" spans="1:10">
      <c r="A1360" t="str">
        <f>VLOOKUP(Summary!M1359,Summary!$P$13:$Q$24,2)</f>
        <v>B1700-sky</v>
      </c>
      <c r="B1360">
        <f>ROUND(NORMINV(Summary!M1361,VLOOKUP(A1360,Summary!$Q$13:$S$24,3,FALSE),VLOOKUP(A1360,Summary!$Q$13:$S$24,3,FALSE)/6),-1)</f>
        <v>520</v>
      </c>
      <c r="C1360" t="str">
        <f>IF(AND(H1360=0,C1359=Summary!$P$2),Summary!$Q$2,IF(AND(H1360=0,C1359=Summary!$Q$2),Summary!$R$2,C1359))</f>
        <v>Jared</v>
      </c>
      <c r="D1360" t="str">
        <f>IF(C1360=Summary!$P$26,VLOOKUP(Summary!M1367,Summary!$Q$26:$R$27,2),IF('Run Data'!C1360=Summary!$P$28,VLOOKUP(Summary!M1367,Summary!$Q$28:$R$29,2),VLOOKUP(Summary!M1367,Summary!$Q$30:$R$32,2)))</f>
        <v>Sprig 2</v>
      </c>
      <c r="E1360" t="str">
        <f>VLOOKUP(Summary!M1370,Summary!$P$42:$Q$43,2)</f>
        <v>87b</v>
      </c>
      <c r="F1360">
        <f>IF(LEFT(A1360,3)="B60",20,IF(LEFT(A1360,3)="B12",30,25))+B1360*0.5+INT(Summary!M1373*20)</f>
        <v>301</v>
      </c>
      <c r="G1360">
        <f>ROUND(IF(OR(ISERROR(FIND(Summary!$P$89,CONCATENATE(C1360,D1360,E1360))),ISERROR(FIND(Summary!$Q$89,A1360))),Summary!$R$45,IF(H1360&gt;Summary!$V$3,Summary!$R$46,Summary!$R$45))*(B1360+30),0)</f>
        <v>6</v>
      </c>
      <c r="H1360">
        <f>IF(H1359&gt;Summary!$V$4,0,H1359+F1359)</f>
        <v>122796</v>
      </c>
      <c r="I1360" s="26">
        <f>DATE(YEAR(Summary!$V$2),MONTH(Summary!$V$2),DAY(Summary!$V$2)+INT(H1360/480))</f>
        <v>43845</v>
      </c>
      <c r="J1360" s="27">
        <f t="shared" si="21"/>
        <v>0.60833333333333328</v>
      </c>
    </row>
    <row r="1361" spans="1:10">
      <c r="A1361" t="str">
        <f>VLOOKUP(Summary!M1360,Summary!$P$13:$Q$24,2)</f>
        <v>B1200-sky</v>
      </c>
      <c r="B1361">
        <f>ROUND(NORMINV(Summary!M1362,VLOOKUP(A1361,Summary!$Q$13:$S$24,3,FALSE),VLOOKUP(A1361,Summary!$Q$13:$S$24,3,FALSE)/6),-1)</f>
        <v>1490</v>
      </c>
      <c r="C1361" t="str">
        <f>IF(AND(H1361=0,C1360=Summary!$P$2),Summary!$Q$2,IF(AND(H1361=0,C1360=Summary!$Q$2),Summary!$R$2,C1360))</f>
        <v>Jared</v>
      </c>
      <c r="D1361" t="str">
        <f>IF(C1361=Summary!$P$26,VLOOKUP(Summary!M1368,Summary!$Q$26:$R$27,2),IF('Run Data'!C1361=Summary!$P$28,VLOOKUP(Summary!M1368,Summary!$Q$28:$R$29,2),VLOOKUP(Summary!M1368,Summary!$Q$30:$R$32,2)))</f>
        <v>Sprig 1</v>
      </c>
      <c r="E1361" t="str">
        <f>VLOOKUP(Summary!M1371,Summary!$P$42:$Q$43,2)</f>
        <v>86</v>
      </c>
      <c r="F1361">
        <f>IF(LEFT(A1361,3)="B60",20,IF(LEFT(A1361,3)="B12",30,25))+B1361*0.5+INT(Summary!M1374*20)</f>
        <v>786</v>
      </c>
      <c r="G1361">
        <f>ROUND(IF(OR(ISERROR(FIND(Summary!$P$89,CONCATENATE(C1361,D1361,E1361))),ISERROR(FIND(Summary!$Q$89,A1361))),Summary!$R$45,IF(H1361&gt;Summary!$V$3,Summary!$R$46,Summary!$R$45))*(B1361+30),0)</f>
        <v>15</v>
      </c>
      <c r="H1361">
        <f>IF(H1360&gt;Summary!$V$4,0,H1360+F1360)</f>
        <v>123097</v>
      </c>
      <c r="I1361" s="26">
        <f>DATE(YEAR(Summary!$V$2),MONTH(Summary!$V$2),DAY(Summary!$V$2)+INT(H1361/480))</f>
        <v>43846</v>
      </c>
      <c r="J1361" s="27">
        <f t="shared" ref="J1361:J1424" si="22">TIME(INT(MOD(H1361,480)/60)+8,MOD(MOD(H1361,480),60),0)</f>
        <v>0.48402777777777778</v>
      </c>
    </row>
    <row r="1362" spans="1:10">
      <c r="A1362" t="str">
        <f>VLOOKUP(Summary!M1361,Summary!$P$13:$Q$24,2)</f>
        <v>B1200-sky</v>
      </c>
      <c r="B1362">
        <f>ROUND(NORMINV(Summary!M1363,VLOOKUP(A1362,Summary!$Q$13:$S$24,3,FALSE),VLOOKUP(A1362,Summary!$Q$13:$S$24,3,FALSE)/6),-1)</f>
        <v>1210</v>
      </c>
      <c r="C1362" t="str">
        <f>IF(AND(H1362=0,C1361=Summary!$P$2),Summary!$Q$2,IF(AND(H1362=0,C1361=Summary!$Q$2),Summary!$R$2,C1361))</f>
        <v>Jared</v>
      </c>
      <c r="D1362" t="str">
        <f>IF(C1362=Summary!$P$26,VLOOKUP(Summary!M1369,Summary!$Q$26:$R$27,2),IF('Run Data'!C1362=Summary!$P$28,VLOOKUP(Summary!M1369,Summary!$Q$28:$R$29,2),VLOOKUP(Summary!M1369,Summary!$Q$30:$R$32,2)))</f>
        <v>Sprig 2</v>
      </c>
      <c r="E1362" t="str">
        <f>VLOOKUP(Summary!M1372,Summary!$P$42:$Q$43,2)</f>
        <v>86</v>
      </c>
      <c r="F1362">
        <f>IF(LEFT(A1362,3)="B60",20,IF(LEFT(A1362,3)="B12",30,25))+B1362*0.5+INT(Summary!M1375*20)</f>
        <v>649</v>
      </c>
      <c r="G1362">
        <f>ROUND(IF(OR(ISERROR(FIND(Summary!$P$89,CONCATENATE(C1362,D1362,E1362))),ISERROR(FIND(Summary!$Q$89,A1362))),Summary!$R$45,IF(H1362&gt;Summary!$V$3,Summary!$R$46,Summary!$R$45))*(B1362+30),0)</f>
        <v>12</v>
      </c>
      <c r="H1362">
        <f>IF(H1361&gt;Summary!$V$4,0,H1361+F1361)</f>
        <v>123883</v>
      </c>
      <c r="I1362" s="26">
        <f>DATE(YEAR(Summary!$V$2),MONTH(Summary!$V$2),DAY(Summary!$V$2)+INT(H1362/480))</f>
        <v>43848</v>
      </c>
      <c r="J1362" s="27">
        <f t="shared" si="22"/>
        <v>0.36319444444444443</v>
      </c>
    </row>
    <row r="1363" spans="1:10">
      <c r="A1363" t="str">
        <f>VLOOKUP(Summary!M1362,Summary!$P$13:$Q$24,2)</f>
        <v>B1700-lime</v>
      </c>
      <c r="B1363">
        <f>ROUND(NORMINV(Summary!M1364,VLOOKUP(A1363,Summary!$Q$13:$S$24,3,FALSE),VLOOKUP(A1363,Summary!$Q$13:$S$24,3,FALSE)/6),-1)</f>
        <v>420</v>
      </c>
      <c r="C1363" t="str">
        <f>IF(AND(H1363=0,C1362=Summary!$P$2),Summary!$Q$2,IF(AND(H1363=0,C1362=Summary!$Q$2),Summary!$R$2,C1362))</f>
        <v>Jared</v>
      </c>
      <c r="D1363" t="str">
        <f>IF(C1363=Summary!$P$26,VLOOKUP(Summary!M1370,Summary!$Q$26:$R$27,2),IF('Run Data'!C1363=Summary!$P$28,VLOOKUP(Summary!M1370,Summary!$Q$28:$R$29,2),VLOOKUP(Summary!M1370,Summary!$Q$30:$R$32,2)))</f>
        <v>Sprig 3</v>
      </c>
      <c r="E1363" t="str">
        <f>VLOOKUP(Summary!M1373,Summary!$P$42:$Q$43,2)</f>
        <v>86</v>
      </c>
      <c r="F1363">
        <f>IF(LEFT(A1363,3)="B60",20,IF(LEFT(A1363,3)="B12",30,25))+B1363*0.5+INT(Summary!M1376*20)</f>
        <v>254</v>
      </c>
      <c r="G1363">
        <f>ROUND(IF(OR(ISERROR(FIND(Summary!$P$89,CONCATENATE(C1363,D1363,E1363))),ISERROR(FIND(Summary!$Q$89,A1363))),Summary!$R$45,IF(H1363&gt;Summary!$V$3,Summary!$R$46,Summary!$R$45))*(B1363+30),0)</f>
        <v>54</v>
      </c>
      <c r="H1363">
        <f>IF(H1362&gt;Summary!$V$4,0,H1362+F1362)</f>
        <v>124532</v>
      </c>
      <c r="I1363" s="26">
        <f>DATE(YEAR(Summary!$V$2),MONTH(Summary!$V$2),DAY(Summary!$V$2)+INT(H1363/480))</f>
        <v>43849</v>
      </c>
      <c r="J1363" s="27">
        <f t="shared" si="22"/>
        <v>0.48055555555555557</v>
      </c>
    </row>
    <row r="1364" spans="1:10">
      <c r="A1364" t="str">
        <f>VLOOKUP(Summary!M1363,Summary!$P$13:$Q$24,2)</f>
        <v>B1200-fire</v>
      </c>
      <c r="B1364">
        <f>ROUND(NORMINV(Summary!M1365,VLOOKUP(A1364,Summary!$Q$13:$S$24,3,FALSE),VLOOKUP(A1364,Summary!$Q$13:$S$24,3,FALSE)/6),-1)</f>
        <v>950</v>
      </c>
      <c r="C1364" t="str">
        <f>IF(AND(H1364=0,C1363=Summary!$P$2),Summary!$Q$2,IF(AND(H1364=0,C1363=Summary!$Q$2),Summary!$R$2,C1363))</f>
        <v>Jared</v>
      </c>
      <c r="D1364" t="str">
        <f>IF(C1364=Summary!$P$26,VLOOKUP(Summary!M1371,Summary!$Q$26:$R$27,2),IF('Run Data'!C1364=Summary!$P$28,VLOOKUP(Summary!M1371,Summary!$Q$28:$R$29,2),VLOOKUP(Summary!M1371,Summary!$Q$30:$R$32,2)))</f>
        <v>Sprig 2</v>
      </c>
      <c r="E1364" t="str">
        <f>VLOOKUP(Summary!M1374,Summary!$P$42:$Q$43,2)</f>
        <v>86</v>
      </c>
      <c r="F1364">
        <f>IF(LEFT(A1364,3)="B60",20,IF(LEFT(A1364,3)="B12",30,25))+B1364*0.5+INT(Summary!M1377*20)</f>
        <v>517</v>
      </c>
      <c r="G1364">
        <f>ROUND(IF(OR(ISERROR(FIND(Summary!$P$89,CONCATENATE(C1364,D1364,E1364))),ISERROR(FIND(Summary!$Q$89,A1364))),Summary!$R$45,IF(H1364&gt;Summary!$V$3,Summary!$R$46,Summary!$R$45))*(B1364+30),0)</f>
        <v>10</v>
      </c>
      <c r="H1364">
        <f>IF(H1363&gt;Summary!$V$4,0,H1363+F1363)</f>
        <v>124786</v>
      </c>
      <c r="I1364" s="26">
        <f>DATE(YEAR(Summary!$V$2),MONTH(Summary!$V$2),DAY(Summary!$V$2)+INT(H1364/480))</f>
        <v>43849</v>
      </c>
      <c r="J1364" s="27">
        <f t="shared" si="22"/>
        <v>0.65694444444444444</v>
      </c>
    </row>
    <row r="1365" spans="1:10">
      <c r="A1365" t="str">
        <f>VLOOKUP(Summary!M1364,Summary!$P$13:$Q$24,2)</f>
        <v>B1200-lime</v>
      </c>
      <c r="B1365">
        <f>ROUND(NORMINV(Summary!M1366,VLOOKUP(A1365,Summary!$Q$13:$S$24,3,FALSE),VLOOKUP(A1365,Summary!$Q$13:$S$24,3,FALSE)/6),-1)</f>
        <v>960</v>
      </c>
      <c r="C1365" t="str">
        <f>IF(AND(H1365=0,C1364=Summary!$P$2),Summary!$Q$2,IF(AND(H1365=0,C1364=Summary!$Q$2),Summary!$R$2,C1364))</f>
        <v>Jared</v>
      </c>
      <c r="D1365" t="str">
        <f>IF(C1365=Summary!$P$26,VLOOKUP(Summary!M1372,Summary!$Q$26:$R$27,2),IF('Run Data'!C1365=Summary!$P$28,VLOOKUP(Summary!M1372,Summary!$Q$28:$R$29,2),VLOOKUP(Summary!M1372,Summary!$Q$30:$R$32,2)))</f>
        <v>Sprig 2</v>
      </c>
      <c r="E1365" t="str">
        <f>VLOOKUP(Summary!M1375,Summary!$P$42:$Q$43,2)</f>
        <v>86</v>
      </c>
      <c r="F1365">
        <f>IF(LEFT(A1365,3)="B60",20,IF(LEFT(A1365,3)="B12",30,25))+B1365*0.5+INT(Summary!M1378*20)</f>
        <v>524</v>
      </c>
      <c r="G1365">
        <f>ROUND(IF(OR(ISERROR(FIND(Summary!$P$89,CONCATENATE(C1365,D1365,E1365))),ISERROR(FIND(Summary!$Q$89,A1365))),Summary!$R$45,IF(H1365&gt;Summary!$V$3,Summary!$R$46,Summary!$R$45))*(B1365+30),0)</f>
        <v>10</v>
      </c>
      <c r="H1365">
        <f>IF(H1364&gt;Summary!$V$4,0,H1364+F1364)</f>
        <v>125303</v>
      </c>
      <c r="I1365" s="26">
        <f>DATE(YEAR(Summary!$V$2),MONTH(Summary!$V$2),DAY(Summary!$V$2)+INT(H1365/480))</f>
        <v>43851</v>
      </c>
      <c r="J1365" s="27">
        <f t="shared" si="22"/>
        <v>0.34930555555555554</v>
      </c>
    </row>
    <row r="1366" spans="1:10">
      <c r="A1366" t="str">
        <f>VLOOKUP(Summary!M1365,Summary!$P$13:$Q$24,2)</f>
        <v>B600-sky</v>
      </c>
      <c r="B1366">
        <f>ROUND(NORMINV(Summary!M1367,VLOOKUP(A1366,Summary!$Q$13:$S$24,3,FALSE),VLOOKUP(A1366,Summary!$Q$13:$S$24,3,FALSE)/6),-1)</f>
        <v>520</v>
      </c>
      <c r="C1366" t="str">
        <f>IF(AND(H1366=0,C1365=Summary!$P$2),Summary!$Q$2,IF(AND(H1366=0,C1365=Summary!$Q$2),Summary!$R$2,C1365))</f>
        <v>Jared</v>
      </c>
      <c r="D1366" t="str">
        <f>IF(C1366=Summary!$P$26,VLOOKUP(Summary!M1373,Summary!$Q$26:$R$27,2),IF('Run Data'!C1366=Summary!$P$28,VLOOKUP(Summary!M1373,Summary!$Q$28:$R$29,2),VLOOKUP(Summary!M1373,Summary!$Q$30:$R$32,2)))</f>
        <v>Sprig 3</v>
      </c>
      <c r="E1366" t="str">
        <f>VLOOKUP(Summary!M1376,Summary!$P$42:$Q$43,2)</f>
        <v>87b</v>
      </c>
      <c r="F1366">
        <f>IF(LEFT(A1366,3)="B60",20,IF(LEFT(A1366,3)="B12",30,25))+B1366*0.5+INT(Summary!M1379*20)</f>
        <v>283</v>
      </c>
      <c r="G1366">
        <f>ROUND(IF(OR(ISERROR(FIND(Summary!$P$89,CONCATENATE(C1366,D1366,E1366))),ISERROR(FIND(Summary!$Q$89,A1366))),Summary!$R$45,IF(H1366&gt;Summary!$V$3,Summary!$R$46,Summary!$R$45))*(B1366+30),0)</f>
        <v>6</v>
      </c>
      <c r="H1366">
        <f>IF(H1365&gt;Summary!$V$4,0,H1365+F1365)</f>
        <v>125827</v>
      </c>
      <c r="I1366" s="26">
        <f>DATE(YEAR(Summary!$V$2),MONTH(Summary!$V$2),DAY(Summary!$V$2)+INT(H1366/480))</f>
        <v>43852</v>
      </c>
      <c r="J1366" s="27">
        <f t="shared" si="22"/>
        <v>0.37986111111111115</v>
      </c>
    </row>
    <row r="1367" spans="1:10">
      <c r="A1367" t="str">
        <f>VLOOKUP(Summary!M1366,Summary!$P$13:$Q$24,2)</f>
        <v>B1700-fire</v>
      </c>
      <c r="B1367">
        <f>ROUND(NORMINV(Summary!M1368,VLOOKUP(A1367,Summary!$Q$13:$S$24,3,FALSE),VLOOKUP(A1367,Summary!$Q$13:$S$24,3,FALSE)/6),-1)</f>
        <v>540</v>
      </c>
      <c r="C1367" t="str">
        <f>IF(AND(H1367=0,C1366=Summary!$P$2),Summary!$Q$2,IF(AND(H1367=0,C1366=Summary!$Q$2),Summary!$R$2,C1366))</f>
        <v>Jared</v>
      </c>
      <c r="D1367" t="str">
        <f>IF(C1367=Summary!$P$26,VLOOKUP(Summary!M1374,Summary!$Q$26:$R$27,2),IF('Run Data'!C1367=Summary!$P$28,VLOOKUP(Summary!M1374,Summary!$Q$28:$R$29,2),VLOOKUP(Summary!M1374,Summary!$Q$30:$R$32,2)))</f>
        <v>Sprig 2</v>
      </c>
      <c r="E1367" t="str">
        <f>VLOOKUP(Summary!M1377,Summary!$P$42:$Q$43,2)</f>
        <v>86</v>
      </c>
      <c r="F1367">
        <f>IF(LEFT(A1367,3)="B60",20,IF(LEFT(A1367,3)="B12",30,25))+B1367*0.5+INT(Summary!M1380*20)</f>
        <v>313</v>
      </c>
      <c r="G1367">
        <f>ROUND(IF(OR(ISERROR(FIND(Summary!$P$89,CONCATENATE(C1367,D1367,E1367))),ISERROR(FIND(Summary!$Q$89,A1367))),Summary!$R$45,IF(H1367&gt;Summary!$V$3,Summary!$R$46,Summary!$R$45))*(B1367+30),0)</f>
        <v>68</v>
      </c>
      <c r="H1367">
        <f>IF(H1366&gt;Summary!$V$4,0,H1366+F1366)</f>
        <v>126110</v>
      </c>
      <c r="I1367" s="26">
        <f>DATE(YEAR(Summary!$V$2),MONTH(Summary!$V$2),DAY(Summary!$V$2)+INT(H1367/480))</f>
        <v>43852</v>
      </c>
      <c r="J1367" s="27">
        <f t="shared" si="22"/>
        <v>0.57638888888888895</v>
      </c>
    </row>
    <row r="1368" spans="1:10">
      <c r="A1368" t="str">
        <f>VLOOKUP(Summary!M1367,Summary!$P$13:$Q$24,2)</f>
        <v>B1200-lime</v>
      </c>
      <c r="B1368">
        <f>ROUND(NORMINV(Summary!M1369,VLOOKUP(A1368,Summary!$Q$13:$S$24,3,FALSE),VLOOKUP(A1368,Summary!$Q$13:$S$24,3,FALSE)/6),-1)</f>
        <v>800</v>
      </c>
      <c r="C1368" t="str">
        <f>IF(AND(H1368=0,C1367=Summary!$P$2),Summary!$Q$2,IF(AND(H1368=0,C1367=Summary!$Q$2),Summary!$R$2,C1367))</f>
        <v>Jared</v>
      </c>
      <c r="D1368" t="str">
        <f>IF(C1368=Summary!$P$26,VLOOKUP(Summary!M1375,Summary!$Q$26:$R$27,2),IF('Run Data'!C1368=Summary!$P$28,VLOOKUP(Summary!M1375,Summary!$Q$28:$R$29,2),VLOOKUP(Summary!M1375,Summary!$Q$30:$R$32,2)))</f>
        <v>Sprig 3</v>
      </c>
      <c r="E1368" t="str">
        <f>VLOOKUP(Summary!M1378,Summary!$P$42:$Q$43,2)</f>
        <v>86</v>
      </c>
      <c r="F1368">
        <f>IF(LEFT(A1368,3)="B60",20,IF(LEFT(A1368,3)="B12",30,25))+B1368*0.5+INT(Summary!M1381*20)</f>
        <v>432</v>
      </c>
      <c r="G1368">
        <f>ROUND(IF(OR(ISERROR(FIND(Summary!$P$89,CONCATENATE(C1368,D1368,E1368))),ISERROR(FIND(Summary!$Q$89,A1368))),Summary!$R$45,IF(H1368&gt;Summary!$V$3,Summary!$R$46,Summary!$R$45))*(B1368+30),0)</f>
        <v>8</v>
      </c>
      <c r="H1368">
        <f>IF(H1367&gt;Summary!$V$4,0,H1367+F1367)</f>
        <v>126423</v>
      </c>
      <c r="I1368" s="26">
        <f>DATE(YEAR(Summary!$V$2),MONTH(Summary!$V$2),DAY(Summary!$V$2)+INT(H1368/480))</f>
        <v>43853</v>
      </c>
      <c r="J1368" s="27">
        <f t="shared" si="22"/>
        <v>0.4604166666666667</v>
      </c>
    </row>
    <row r="1369" spans="1:10">
      <c r="A1369" t="str">
        <f>VLOOKUP(Summary!M1368,Summary!$P$13:$Q$24,2)</f>
        <v>B600-plum</v>
      </c>
      <c r="B1369">
        <f>ROUND(NORMINV(Summary!M1370,VLOOKUP(A1369,Summary!$Q$13:$S$24,3,FALSE),VLOOKUP(A1369,Summary!$Q$13:$S$24,3,FALSE)/6),-1)</f>
        <v>240</v>
      </c>
      <c r="C1369" t="str">
        <f>IF(AND(H1369=0,C1368=Summary!$P$2),Summary!$Q$2,IF(AND(H1369=0,C1368=Summary!$Q$2),Summary!$R$2,C1368))</f>
        <v>Jared</v>
      </c>
      <c r="D1369" t="str">
        <f>IF(C1369=Summary!$P$26,VLOOKUP(Summary!M1376,Summary!$Q$26:$R$27,2),IF('Run Data'!C1369=Summary!$P$28,VLOOKUP(Summary!M1376,Summary!$Q$28:$R$29,2),VLOOKUP(Summary!M1376,Summary!$Q$30:$R$32,2)))</f>
        <v>Sprig 3</v>
      </c>
      <c r="E1369" t="str">
        <f>VLOOKUP(Summary!M1379,Summary!$P$42:$Q$43,2)</f>
        <v>86</v>
      </c>
      <c r="F1369">
        <f>IF(LEFT(A1369,3)="B60",20,IF(LEFT(A1369,3)="B12",30,25))+B1369*0.5+INT(Summary!M1382*20)</f>
        <v>155</v>
      </c>
      <c r="G1369">
        <f>ROUND(IF(OR(ISERROR(FIND(Summary!$P$89,CONCATENATE(C1369,D1369,E1369))),ISERROR(FIND(Summary!$Q$89,A1369))),Summary!$R$45,IF(H1369&gt;Summary!$V$3,Summary!$R$46,Summary!$R$45))*(B1369+30),0)</f>
        <v>3</v>
      </c>
      <c r="H1369">
        <f>IF(H1368&gt;Summary!$V$4,0,H1368+F1368)</f>
        <v>126855</v>
      </c>
      <c r="I1369" s="26">
        <f>DATE(YEAR(Summary!$V$2),MONTH(Summary!$V$2),DAY(Summary!$V$2)+INT(H1369/480))</f>
        <v>43854</v>
      </c>
      <c r="J1369" s="27">
        <f t="shared" si="22"/>
        <v>0.42708333333333331</v>
      </c>
    </row>
    <row r="1370" spans="1:10">
      <c r="A1370" t="str">
        <f>VLOOKUP(Summary!M1369,Summary!$P$13:$Q$24,2)</f>
        <v>B1200-fire</v>
      </c>
      <c r="B1370">
        <f>ROUND(NORMINV(Summary!M1371,VLOOKUP(A1370,Summary!$Q$13:$S$24,3,FALSE),VLOOKUP(A1370,Summary!$Q$13:$S$24,3,FALSE)/6),-1)</f>
        <v>1200</v>
      </c>
      <c r="C1370" t="str">
        <f>IF(AND(H1370=0,C1369=Summary!$P$2),Summary!$Q$2,IF(AND(H1370=0,C1369=Summary!$Q$2),Summary!$R$2,C1369))</f>
        <v>Jared</v>
      </c>
      <c r="D1370" t="str">
        <f>IF(C1370=Summary!$P$26,VLOOKUP(Summary!M1377,Summary!$Q$26:$R$27,2),IF('Run Data'!C1370=Summary!$P$28,VLOOKUP(Summary!M1377,Summary!$Q$28:$R$29,2),VLOOKUP(Summary!M1377,Summary!$Q$30:$R$32,2)))</f>
        <v>Sprig 3</v>
      </c>
      <c r="E1370" t="str">
        <f>VLOOKUP(Summary!M1380,Summary!$P$42:$Q$43,2)</f>
        <v>87b</v>
      </c>
      <c r="F1370">
        <f>IF(LEFT(A1370,3)="B60",20,IF(LEFT(A1370,3)="B12",30,25))+B1370*0.5+INT(Summary!M1383*20)</f>
        <v>646</v>
      </c>
      <c r="G1370">
        <f>ROUND(IF(OR(ISERROR(FIND(Summary!$P$89,CONCATENATE(C1370,D1370,E1370))),ISERROR(FIND(Summary!$Q$89,A1370))),Summary!$R$45,IF(H1370&gt;Summary!$V$3,Summary!$R$46,Summary!$R$45))*(B1370+30),0)</f>
        <v>12</v>
      </c>
      <c r="H1370">
        <f>IF(H1369&gt;Summary!$V$4,0,H1369+F1369)</f>
        <v>127010</v>
      </c>
      <c r="I1370" s="26">
        <f>DATE(YEAR(Summary!$V$2),MONTH(Summary!$V$2),DAY(Summary!$V$2)+INT(H1370/480))</f>
        <v>43854</v>
      </c>
      <c r="J1370" s="27">
        <f t="shared" si="22"/>
        <v>0.53472222222222221</v>
      </c>
    </row>
    <row r="1371" spans="1:10">
      <c r="A1371" t="str">
        <f>VLOOKUP(Summary!M1370,Summary!$P$13:$Q$24,2)</f>
        <v>B1700-fire</v>
      </c>
      <c r="B1371">
        <f>ROUND(NORMINV(Summary!M1372,VLOOKUP(A1371,Summary!$Q$13:$S$24,3,FALSE),VLOOKUP(A1371,Summary!$Q$13:$S$24,3,FALSE)/6),-1)</f>
        <v>700</v>
      </c>
      <c r="C1371" t="str">
        <f>IF(AND(H1371=0,C1370=Summary!$P$2),Summary!$Q$2,IF(AND(H1371=0,C1370=Summary!$Q$2),Summary!$R$2,C1370))</f>
        <v>Jared</v>
      </c>
      <c r="D1371" t="str">
        <f>IF(C1371=Summary!$P$26,VLOOKUP(Summary!M1378,Summary!$Q$26:$R$27,2),IF('Run Data'!C1371=Summary!$P$28,VLOOKUP(Summary!M1378,Summary!$Q$28:$R$29,2),VLOOKUP(Summary!M1378,Summary!$Q$30:$R$32,2)))</f>
        <v>Sprig 3</v>
      </c>
      <c r="E1371" t="str">
        <f>VLOOKUP(Summary!M1381,Summary!$P$42:$Q$43,2)</f>
        <v>86</v>
      </c>
      <c r="F1371">
        <f>IF(LEFT(A1371,3)="B60",20,IF(LEFT(A1371,3)="B12",30,25))+B1371*0.5+INT(Summary!M1384*20)</f>
        <v>391</v>
      </c>
      <c r="G1371">
        <f>ROUND(IF(OR(ISERROR(FIND(Summary!$P$89,CONCATENATE(C1371,D1371,E1371))),ISERROR(FIND(Summary!$Q$89,A1371))),Summary!$R$45,IF(H1371&gt;Summary!$V$3,Summary!$R$46,Summary!$R$45))*(B1371+30),0)</f>
        <v>88</v>
      </c>
      <c r="H1371">
        <f>IF(H1370&gt;Summary!$V$4,0,H1370+F1370)</f>
        <v>127656</v>
      </c>
      <c r="I1371" s="26">
        <f>DATE(YEAR(Summary!$V$2),MONTH(Summary!$V$2),DAY(Summary!$V$2)+INT(H1371/480))</f>
        <v>43855</v>
      </c>
      <c r="J1371" s="27">
        <f t="shared" si="22"/>
        <v>0.65</v>
      </c>
    </row>
    <row r="1372" spans="1:10">
      <c r="A1372" t="str">
        <f>VLOOKUP(Summary!M1371,Summary!$P$13:$Q$24,2)</f>
        <v>B1200-fire</v>
      </c>
      <c r="B1372">
        <f>ROUND(NORMINV(Summary!M1373,VLOOKUP(A1372,Summary!$Q$13:$S$24,3,FALSE),VLOOKUP(A1372,Summary!$Q$13:$S$24,3,FALSE)/6),-1)</f>
        <v>1400</v>
      </c>
      <c r="C1372" t="str">
        <f>IF(AND(H1372=0,C1371=Summary!$P$2),Summary!$Q$2,IF(AND(H1372=0,C1371=Summary!$Q$2),Summary!$R$2,C1371))</f>
        <v>Jared</v>
      </c>
      <c r="D1372" t="str">
        <f>IF(C1372=Summary!$P$26,VLOOKUP(Summary!M1379,Summary!$Q$26:$R$27,2),IF('Run Data'!C1372=Summary!$P$28,VLOOKUP(Summary!M1379,Summary!$Q$28:$R$29,2),VLOOKUP(Summary!M1379,Summary!$Q$30:$R$32,2)))</f>
        <v>Sprig 1</v>
      </c>
      <c r="E1372" t="str">
        <f>VLOOKUP(Summary!M1382,Summary!$P$42:$Q$43,2)</f>
        <v>86</v>
      </c>
      <c r="F1372">
        <f>IF(LEFT(A1372,3)="B60",20,IF(LEFT(A1372,3)="B12",30,25))+B1372*0.5+INT(Summary!M1385*20)</f>
        <v>734</v>
      </c>
      <c r="G1372">
        <f>ROUND(IF(OR(ISERROR(FIND(Summary!$P$89,CONCATENATE(C1372,D1372,E1372))),ISERROR(FIND(Summary!$Q$89,A1372))),Summary!$R$45,IF(H1372&gt;Summary!$V$3,Summary!$R$46,Summary!$R$45))*(B1372+30),0)</f>
        <v>14</v>
      </c>
      <c r="H1372">
        <f>IF(H1371&gt;Summary!$V$4,0,H1371+F1371)</f>
        <v>128047</v>
      </c>
      <c r="I1372" s="26">
        <f>DATE(YEAR(Summary!$V$2),MONTH(Summary!$V$2),DAY(Summary!$V$2)+INT(H1372/480))</f>
        <v>43856</v>
      </c>
      <c r="J1372" s="27">
        <f t="shared" si="22"/>
        <v>0.58819444444444446</v>
      </c>
    </row>
    <row r="1373" spans="1:10">
      <c r="A1373" t="str">
        <f>VLOOKUP(Summary!M1372,Summary!$P$13:$Q$24,2)</f>
        <v>B1200-sky</v>
      </c>
      <c r="B1373">
        <f>ROUND(NORMINV(Summary!M1374,VLOOKUP(A1373,Summary!$Q$13:$S$24,3,FALSE),VLOOKUP(A1373,Summary!$Q$13:$S$24,3,FALSE)/6),-1)</f>
        <v>1240</v>
      </c>
      <c r="C1373" t="str">
        <f>IF(AND(H1373=0,C1372=Summary!$P$2),Summary!$Q$2,IF(AND(H1373=0,C1372=Summary!$Q$2),Summary!$R$2,C1372))</f>
        <v>Jared</v>
      </c>
      <c r="D1373" t="str">
        <f>IF(C1373=Summary!$P$26,VLOOKUP(Summary!M1380,Summary!$Q$26:$R$27,2),IF('Run Data'!C1373=Summary!$P$28,VLOOKUP(Summary!M1380,Summary!$Q$28:$R$29,2),VLOOKUP(Summary!M1380,Summary!$Q$30:$R$32,2)))</f>
        <v>Sprig 3</v>
      </c>
      <c r="E1373" t="str">
        <f>VLOOKUP(Summary!M1383,Summary!$P$42:$Q$43,2)</f>
        <v>86</v>
      </c>
      <c r="F1373">
        <f>IF(LEFT(A1373,3)="B60",20,IF(LEFT(A1373,3)="B12",30,25))+B1373*0.5+INT(Summary!M1386*20)</f>
        <v>669</v>
      </c>
      <c r="G1373">
        <f>ROUND(IF(OR(ISERROR(FIND(Summary!$P$89,CONCATENATE(C1373,D1373,E1373))),ISERROR(FIND(Summary!$Q$89,A1373))),Summary!$R$45,IF(H1373&gt;Summary!$V$3,Summary!$R$46,Summary!$R$45))*(B1373+30),0)</f>
        <v>13</v>
      </c>
      <c r="H1373">
        <f>IF(H1372&gt;Summary!$V$4,0,H1372+F1372)</f>
        <v>128781</v>
      </c>
      <c r="I1373" s="26">
        <f>DATE(YEAR(Summary!$V$2),MONTH(Summary!$V$2),DAY(Summary!$V$2)+INT(H1373/480))</f>
        <v>43858</v>
      </c>
      <c r="J1373" s="27">
        <f t="shared" si="22"/>
        <v>0.43124999999999997</v>
      </c>
    </row>
    <row r="1374" spans="1:10">
      <c r="A1374" t="str">
        <f>VLOOKUP(Summary!M1373,Summary!$P$13:$Q$24,2)</f>
        <v>B1700-sky</v>
      </c>
      <c r="B1374">
        <f>ROUND(NORMINV(Summary!M1375,VLOOKUP(A1374,Summary!$Q$13:$S$24,3,FALSE),VLOOKUP(A1374,Summary!$Q$13:$S$24,3,FALSE)/6),-1)</f>
        <v>610</v>
      </c>
      <c r="C1374" t="str">
        <f>IF(AND(H1374=0,C1373=Summary!$P$2),Summary!$Q$2,IF(AND(H1374=0,C1373=Summary!$Q$2),Summary!$R$2,C1373))</f>
        <v>Jared</v>
      </c>
      <c r="D1374" t="str">
        <f>IF(C1374=Summary!$P$26,VLOOKUP(Summary!M1381,Summary!$Q$26:$R$27,2),IF('Run Data'!C1374=Summary!$P$28,VLOOKUP(Summary!M1381,Summary!$Q$28:$R$29,2),VLOOKUP(Summary!M1381,Summary!$Q$30:$R$32,2)))</f>
        <v>Sprig 1</v>
      </c>
      <c r="E1374" t="str">
        <f>VLOOKUP(Summary!M1384,Summary!$P$42:$Q$43,2)</f>
        <v>86</v>
      </c>
      <c r="F1374">
        <f>IF(LEFT(A1374,3)="B60",20,IF(LEFT(A1374,3)="B12",30,25))+B1374*0.5+INT(Summary!M1387*20)</f>
        <v>332</v>
      </c>
      <c r="G1374">
        <f>ROUND(IF(OR(ISERROR(FIND(Summary!$P$89,CONCATENATE(C1374,D1374,E1374))),ISERROR(FIND(Summary!$Q$89,A1374))),Summary!$R$45,IF(H1374&gt;Summary!$V$3,Summary!$R$46,Summary!$R$45))*(B1374+30),0)</f>
        <v>77</v>
      </c>
      <c r="H1374">
        <f>IF(H1373&gt;Summary!$V$4,0,H1373+F1373)</f>
        <v>129450</v>
      </c>
      <c r="I1374" s="26">
        <f>DATE(YEAR(Summary!$V$2),MONTH(Summary!$V$2),DAY(Summary!$V$2)+INT(H1374/480))</f>
        <v>43859</v>
      </c>
      <c r="J1374" s="27">
        <f t="shared" si="22"/>
        <v>0.5625</v>
      </c>
    </row>
    <row r="1375" spans="1:10">
      <c r="A1375" t="str">
        <f>VLOOKUP(Summary!M1374,Summary!$P$13:$Q$24,2)</f>
        <v>B1200-lime</v>
      </c>
      <c r="B1375">
        <f>ROUND(NORMINV(Summary!M1376,VLOOKUP(A1375,Summary!$Q$13:$S$24,3,FALSE),VLOOKUP(A1375,Summary!$Q$13:$S$24,3,FALSE)/6),-1)</f>
        <v>1100</v>
      </c>
      <c r="C1375" t="str">
        <f>IF(AND(H1375=0,C1374=Summary!$P$2),Summary!$Q$2,IF(AND(H1375=0,C1374=Summary!$Q$2),Summary!$R$2,C1374))</f>
        <v>Jared</v>
      </c>
      <c r="D1375" t="str">
        <f>IF(C1375=Summary!$P$26,VLOOKUP(Summary!M1382,Summary!$Q$26:$R$27,2),IF('Run Data'!C1375=Summary!$P$28,VLOOKUP(Summary!M1382,Summary!$Q$28:$R$29,2),VLOOKUP(Summary!M1382,Summary!$Q$30:$R$32,2)))</f>
        <v>Sprig 3</v>
      </c>
      <c r="E1375" t="str">
        <f>VLOOKUP(Summary!M1385,Summary!$P$42:$Q$43,2)</f>
        <v>86</v>
      </c>
      <c r="F1375">
        <f>IF(LEFT(A1375,3)="B60",20,IF(LEFT(A1375,3)="B12",30,25))+B1375*0.5+INT(Summary!M1388*20)</f>
        <v>592</v>
      </c>
      <c r="G1375">
        <f>ROUND(IF(OR(ISERROR(FIND(Summary!$P$89,CONCATENATE(C1375,D1375,E1375))),ISERROR(FIND(Summary!$Q$89,A1375))),Summary!$R$45,IF(H1375&gt;Summary!$V$3,Summary!$R$46,Summary!$R$45))*(B1375+30),0)</f>
        <v>11</v>
      </c>
      <c r="H1375">
        <f>IF(H1374&gt;Summary!$V$4,0,H1374+F1374)</f>
        <v>129782</v>
      </c>
      <c r="I1375" s="26">
        <f>DATE(YEAR(Summary!$V$2),MONTH(Summary!$V$2),DAY(Summary!$V$2)+INT(H1375/480))</f>
        <v>43860</v>
      </c>
      <c r="J1375" s="27">
        <f t="shared" si="22"/>
        <v>0.4597222222222222</v>
      </c>
    </row>
    <row r="1376" spans="1:10">
      <c r="A1376" t="str">
        <f>VLOOKUP(Summary!M1375,Summary!$P$13:$Q$24,2)</f>
        <v>B1700-plum</v>
      </c>
      <c r="B1376">
        <f>ROUND(NORMINV(Summary!M1377,VLOOKUP(A1376,Summary!$Q$13:$S$24,3,FALSE),VLOOKUP(A1376,Summary!$Q$13:$S$24,3,FALSE)/6),-1)</f>
        <v>320</v>
      </c>
      <c r="C1376" t="str">
        <f>IF(AND(H1376=0,C1375=Summary!$P$2),Summary!$Q$2,IF(AND(H1376=0,C1375=Summary!$Q$2),Summary!$R$2,C1375))</f>
        <v>Jared</v>
      </c>
      <c r="D1376" t="str">
        <f>IF(C1376=Summary!$P$26,VLOOKUP(Summary!M1383,Summary!$Q$26:$R$27,2),IF('Run Data'!C1376=Summary!$P$28,VLOOKUP(Summary!M1383,Summary!$Q$28:$R$29,2),VLOOKUP(Summary!M1383,Summary!$Q$30:$R$32,2)))</f>
        <v>Sprig 3</v>
      </c>
      <c r="E1376" t="str">
        <f>VLOOKUP(Summary!M1386,Summary!$P$42:$Q$43,2)</f>
        <v>87b</v>
      </c>
      <c r="F1376">
        <f>IF(LEFT(A1376,3)="B60",20,IF(LEFT(A1376,3)="B12",30,25))+B1376*0.5+INT(Summary!M1389*20)</f>
        <v>186</v>
      </c>
      <c r="G1376">
        <f>ROUND(IF(OR(ISERROR(FIND(Summary!$P$89,CONCATENATE(C1376,D1376,E1376))),ISERROR(FIND(Summary!$Q$89,A1376))),Summary!$R$45,IF(H1376&gt;Summary!$V$3,Summary!$R$46,Summary!$R$45))*(B1376+30),0)</f>
        <v>4</v>
      </c>
      <c r="H1376">
        <f>IF(H1375&gt;Summary!$V$4,0,H1375+F1375)</f>
        <v>130374</v>
      </c>
      <c r="I1376" s="26">
        <f>DATE(YEAR(Summary!$V$2),MONTH(Summary!$V$2),DAY(Summary!$V$2)+INT(H1376/480))</f>
        <v>43861</v>
      </c>
      <c r="J1376" s="27">
        <f t="shared" si="22"/>
        <v>0.53749999999999998</v>
      </c>
    </row>
    <row r="1377" spans="1:10">
      <c r="A1377" t="str">
        <f>VLOOKUP(Summary!M1376,Summary!$P$13:$Q$24,2)</f>
        <v>B1700-lime</v>
      </c>
      <c r="B1377">
        <f>ROUND(NORMINV(Summary!M1378,VLOOKUP(A1377,Summary!$Q$13:$S$24,3,FALSE),VLOOKUP(A1377,Summary!$Q$13:$S$24,3,FALSE)/6),-1)</f>
        <v>440</v>
      </c>
      <c r="C1377" t="str">
        <f>IF(AND(H1377=0,C1376=Summary!$P$2),Summary!$Q$2,IF(AND(H1377=0,C1376=Summary!$Q$2),Summary!$R$2,C1376))</f>
        <v>Jared</v>
      </c>
      <c r="D1377" t="str">
        <f>IF(C1377=Summary!$P$26,VLOOKUP(Summary!M1384,Summary!$Q$26:$R$27,2),IF('Run Data'!C1377=Summary!$P$28,VLOOKUP(Summary!M1384,Summary!$Q$28:$R$29,2),VLOOKUP(Summary!M1384,Summary!$Q$30:$R$32,2)))</f>
        <v>Sprig 3</v>
      </c>
      <c r="E1377" t="str">
        <f>VLOOKUP(Summary!M1387,Summary!$P$42:$Q$43,2)</f>
        <v>86</v>
      </c>
      <c r="F1377">
        <f>IF(LEFT(A1377,3)="B60",20,IF(LEFT(A1377,3)="B12",30,25))+B1377*0.5+INT(Summary!M1390*20)</f>
        <v>252</v>
      </c>
      <c r="G1377">
        <f>ROUND(IF(OR(ISERROR(FIND(Summary!$P$89,CONCATENATE(C1377,D1377,E1377))),ISERROR(FIND(Summary!$Q$89,A1377))),Summary!$R$45,IF(H1377&gt;Summary!$V$3,Summary!$R$46,Summary!$R$45))*(B1377+30),0)</f>
        <v>56</v>
      </c>
      <c r="H1377">
        <f>IF(H1376&gt;Summary!$V$4,0,H1376+F1376)</f>
        <v>130560</v>
      </c>
      <c r="I1377" s="26">
        <f>DATE(YEAR(Summary!$V$2),MONTH(Summary!$V$2),DAY(Summary!$V$2)+INT(H1377/480))</f>
        <v>43862</v>
      </c>
      <c r="J1377" s="27">
        <f t="shared" si="22"/>
        <v>0.33333333333333331</v>
      </c>
    </row>
    <row r="1378" spans="1:10">
      <c r="A1378" t="str">
        <f>VLOOKUP(Summary!M1377,Summary!$P$13:$Q$24,2)</f>
        <v>B1200-lime</v>
      </c>
      <c r="B1378">
        <f>ROUND(NORMINV(Summary!M1379,VLOOKUP(A1378,Summary!$Q$13:$S$24,3,FALSE),VLOOKUP(A1378,Summary!$Q$13:$S$24,3,FALSE)/6),-1)</f>
        <v>660</v>
      </c>
      <c r="C1378" t="str">
        <f>IF(AND(H1378=0,C1377=Summary!$P$2),Summary!$Q$2,IF(AND(H1378=0,C1377=Summary!$Q$2),Summary!$R$2,C1377))</f>
        <v>Jared</v>
      </c>
      <c r="D1378" t="str">
        <f>IF(C1378=Summary!$P$26,VLOOKUP(Summary!M1385,Summary!$Q$26:$R$27,2),IF('Run Data'!C1378=Summary!$P$28,VLOOKUP(Summary!M1385,Summary!$Q$28:$R$29,2),VLOOKUP(Summary!M1385,Summary!$Q$30:$R$32,2)))</f>
        <v>Sprig 2</v>
      </c>
      <c r="E1378" t="str">
        <f>VLOOKUP(Summary!M1388,Summary!$P$42:$Q$43,2)</f>
        <v>86</v>
      </c>
      <c r="F1378">
        <f>IF(LEFT(A1378,3)="B60",20,IF(LEFT(A1378,3)="B12",30,25))+B1378*0.5+INT(Summary!M1391*20)</f>
        <v>374</v>
      </c>
      <c r="G1378">
        <f>ROUND(IF(OR(ISERROR(FIND(Summary!$P$89,CONCATENATE(C1378,D1378,E1378))),ISERROR(FIND(Summary!$Q$89,A1378))),Summary!$R$45,IF(H1378&gt;Summary!$V$3,Summary!$R$46,Summary!$R$45))*(B1378+30),0)</f>
        <v>7</v>
      </c>
      <c r="H1378">
        <f>IF(H1377&gt;Summary!$V$4,0,H1377+F1377)</f>
        <v>130812</v>
      </c>
      <c r="I1378" s="26">
        <f>DATE(YEAR(Summary!$V$2),MONTH(Summary!$V$2),DAY(Summary!$V$2)+INT(H1378/480))</f>
        <v>43862</v>
      </c>
      <c r="J1378" s="27">
        <f t="shared" si="22"/>
        <v>0.5083333333333333</v>
      </c>
    </row>
    <row r="1379" spans="1:10">
      <c r="A1379" t="str">
        <f>VLOOKUP(Summary!M1378,Summary!$P$13:$Q$24,2)</f>
        <v>B1700-plum</v>
      </c>
      <c r="B1379">
        <f>ROUND(NORMINV(Summary!M1380,VLOOKUP(A1379,Summary!$Q$13:$S$24,3,FALSE),VLOOKUP(A1379,Summary!$Q$13:$S$24,3,FALSE)/6),-1)</f>
        <v>380</v>
      </c>
      <c r="C1379" t="str">
        <f>IF(AND(H1379=0,C1378=Summary!$P$2),Summary!$Q$2,IF(AND(H1379=0,C1378=Summary!$Q$2),Summary!$R$2,C1378))</f>
        <v>Jared</v>
      </c>
      <c r="D1379" t="str">
        <f>IF(C1379=Summary!$P$26,VLOOKUP(Summary!M1386,Summary!$Q$26:$R$27,2),IF('Run Data'!C1379=Summary!$P$28,VLOOKUP(Summary!M1386,Summary!$Q$28:$R$29,2),VLOOKUP(Summary!M1386,Summary!$Q$30:$R$32,2)))</f>
        <v>Sprig 3</v>
      </c>
      <c r="E1379" t="str">
        <f>VLOOKUP(Summary!M1389,Summary!$P$42:$Q$43,2)</f>
        <v>86</v>
      </c>
      <c r="F1379">
        <f>IF(LEFT(A1379,3)="B60",20,IF(LEFT(A1379,3)="B12",30,25))+B1379*0.5+INT(Summary!M1392*20)</f>
        <v>234</v>
      </c>
      <c r="G1379">
        <f>ROUND(IF(OR(ISERROR(FIND(Summary!$P$89,CONCATENATE(C1379,D1379,E1379))),ISERROR(FIND(Summary!$Q$89,A1379))),Summary!$R$45,IF(H1379&gt;Summary!$V$3,Summary!$R$46,Summary!$R$45))*(B1379+30),0)</f>
        <v>49</v>
      </c>
      <c r="H1379">
        <f>IF(H1378&gt;Summary!$V$4,0,H1378+F1378)</f>
        <v>131186</v>
      </c>
      <c r="I1379" s="26">
        <f>DATE(YEAR(Summary!$V$2),MONTH(Summary!$V$2),DAY(Summary!$V$2)+INT(H1379/480))</f>
        <v>43863</v>
      </c>
      <c r="J1379" s="27">
        <f t="shared" si="22"/>
        <v>0.43472222222222223</v>
      </c>
    </row>
    <row r="1380" spans="1:10">
      <c r="A1380" t="str">
        <f>VLOOKUP(Summary!M1379,Summary!$P$13:$Q$24,2)</f>
        <v>B600-fire</v>
      </c>
      <c r="B1380">
        <f>ROUND(NORMINV(Summary!M1381,VLOOKUP(A1380,Summary!$Q$13:$S$24,3,FALSE),VLOOKUP(A1380,Summary!$Q$13:$S$24,3,FALSE)/6),-1)</f>
        <v>330</v>
      </c>
      <c r="C1380" t="str">
        <f>IF(AND(H1380=0,C1379=Summary!$P$2),Summary!$Q$2,IF(AND(H1380=0,C1379=Summary!$Q$2),Summary!$R$2,C1379))</f>
        <v>Jared</v>
      </c>
      <c r="D1380" t="str">
        <f>IF(C1380=Summary!$P$26,VLOOKUP(Summary!M1387,Summary!$Q$26:$R$27,2),IF('Run Data'!C1380=Summary!$P$28,VLOOKUP(Summary!M1387,Summary!$Q$28:$R$29,2),VLOOKUP(Summary!M1387,Summary!$Q$30:$R$32,2)))</f>
        <v>Sprig 1</v>
      </c>
      <c r="E1380" t="str">
        <f>VLOOKUP(Summary!M1390,Summary!$P$42:$Q$43,2)</f>
        <v>86</v>
      </c>
      <c r="F1380">
        <f>IF(LEFT(A1380,3)="B60",20,IF(LEFT(A1380,3)="B12",30,25))+B1380*0.5+INT(Summary!M1393*20)</f>
        <v>197</v>
      </c>
      <c r="G1380">
        <f>ROUND(IF(OR(ISERROR(FIND(Summary!$P$89,CONCATENATE(C1380,D1380,E1380))),ISERROR(FIND(Summary!$Q$89,A1380))),Summary!$R$45,IF(H1380&gt;Summary!$V$3,Summary!$R$46,Summary!$R$45))*(B1380+30),0)</f>
        <v>4</v>
      </c>
      <c r="H1380">
        <f>IF(H1379&gt;Summary!$V$4,0,H1379+F1379)</f>
        <v>131420</v>
      </c>
      <c r="I1380" s="26">
        <f>DATE(YEAR(Summary!$V$2),MONTH(Summary!$V$2),DAY(Summary!$V$2)+INT(H1380/480))</f>
        <v>43863</v>
      </c>
      <c r="J1380" s="27">
        <f t="shared" si="22"/>
        <v>0.59722222222222221</v>
      </c>
    </row>
    <row r="1381" spans="1:10">
      <c r="A1381" t="str">
        <f>VLOOKUP(Summary!M1380,Summary!$P$13:$Q$24,2)</f>
        <v>B1700-lime</v>
      </c>
      <c r="B1381">
        <f>ROUND(NORMINV(Summary!M1382,VLOOKUP(A1381,Summary!$Q$13:$S$24,3,FALSE),VLOOKUP(A1381,Summary!$Q$13:$S$24,3,FALSE)/6),-1)</f>
        <v>450</v>
      </c>
      <c r="C1381" t="str">
        <f>IF(AND(H1381=0,C1380=Summary!$P$2),Summary!$Q$2,IF(AND(H1381=0,C1380=Summary!$Q$2),Summary!$R$2,C1380))</f>
        <v>Jared</v>
      </c>
      <c r="D1381" t="str">
        <f>IF(C1381=Summary!$P$26,VLOOKUP(Summary!M1388,Summary!$Q$26:$R$27,2),IF('Run Data'!C1381=Summary!$P$28,VLOOKUP(Summary!M1388,Summary!$Q$28:$R$29,2),VLOOKUP(Summary!M1388,Summary!$Q$30:$R$32,2)))</f>
        <v>Sprig 3</v>
      </c>
      <c r="E1381" t="str">
        <f>VLOOKUP(Summary!M1391,Summary!$P$42:$Q$43,2)</f>
        <v>86</v>
      </c>
      <c r="F1381">
        <f>IF(LEFT(A1381,3)="B60",20,IF(LEFT(A1381,3)="B12",30,25))+B1381*0.5+INT(Summary!M1394*20)</f>
        <v>258</v>
      </c>
      <c r="G1381">
        <f>ROUND(IF(OR(ISERROR(FIND(Summary!$P$89,CONCATENATE(C1381,D1381,E1381))),ISERROR(FIND(Summary!$Q$89,A1381))),Summary!$R$45,IF(H1381&gt;Summary!$V$3,Summary!$R$46,Summary!$R$45))*(B1381+30),0)</f>
        <v>58</v>
      </c>
      <c r="H1381">
        <f>IF(H1380&gt;Summary!$V$4,0,H1380+F1380)</f>
        <v>131617</v>
      </c>
      <c r="I1381" s="26">
        <f>DATE(YEAR(Summary!$V$2),MONTH(Summary!$V$2),DAY(Summary!$V$2)+INT(H1381/480))</f>
        <v>43864</v>
      </c>
      <c r="J1381" s="27">
        <f t="shared" si="22"/>
        <v>0.40069444444444446</v>
      </c>
    </row>
    <row r="1382" spans="1:10">
      <c r="A1382" t="str">
        <f>VLOOKUP(Summary!M1381,Summary!$P$13:$Q$24,2)</f>
        <v>B600-fire</v>
      </c>
      <c r="B1382">
        <f>ROUND(NORMINV(Summary!M1383,VLOOKUP(A1382,Summary!$Q$13:$S$24,3,FALSE),VLOOKUP(A1382,Summary!$Q$13:$S$24,3,FALSE)/6),-1)</f>
        <v>470</v>
      </c>
      <c r="C1382" t="str">
        <f>IF(AND(H1382=0,C1381=Summary!$P$2),Summary!$Q$2,IF(AND(H1382=0,C1381=Summary!$Q$2),Summary!$R$2,C1381))</f>
        <v>Jared</v>
      </c>
      <c r="D1382" t="str">
        <f>IF(C1382=Summary!$P$26,VLOOKUP(Summary!M1389,Summary!$Q$26:$R$27,2),IF('Run Data'!C1382=Summary!$P$28,VLOOKUP(Summary!M1389,Summary!$Q$28:$R$29,2),VLOOKUP(Summary!M1389,Summary!$Q$30:$R$32,2)))</f>
        <v>Sprig 1</v>
      </c>
      <c r="E1382" t="str">
        <f>VLOOKUP(Summary!M1392,Summary!$P$42:$Q$43,2)</f>
        <v>87b</v>
      </c>
      <c r="F1382">
        <f>IF(LEFT(A1382,3)="B60",20,IF(LEFT(A1382,3)="B12",30,25))+B1382*0.5+INT(Summary!M1395*20)</f>
        <v>264</v>
      </c>
      <c r="G1382">
        <f>ROUND(IF(OR(ISERROR(FIND(Summary!$P$89,CONCATENATE(C1382,D1382,E1382))),ISERROR(FIND(Summary!$Q$89,A1382))),Summary!$R$45,IF(H1382&gt;Summary!$V$3,Summary!$R$46,Summary!$R$45))*(B1382+30),0)</f>
        <v>5</v>
      </c>
      <c r="H1382">
        <f>IF(H1381&gt;Summary!$V$4,0,H1381+F1381)</f>
        <v>131875</v>
      </c>
      <c r="I1382" s="26">
        <f>DATE(YEAR(Summary!$V$2),MONTH(Summary!$V$2),DAY(Summary!$V$2)+INT(H1382/480))</f>
        <v>43864</v>
      </c>
      <c r="J1382" s="27">
        <f t="shared" si="22"/>
        <v>0.57986111111111105</v>
      </c>
    </row>
    <row r="1383" spans="1:10">
      <c r="A1383" t="str">
        <f>VLOOKUP(Summary!M1382,Summary!$P$13:$Q$24,2)</f>
        <v>B1700-sky</v>
      </c>
      <c r="B1383">
        <f>ROUND(NORMINV(Summary!M1384,VLOOKUP(A1383,Summary!$Q$13:$S$24,3,FALSE),VLOOKUP(A1383,Summary!$Q$13:$S$24,3,FALSE)/6),-1)</f>
        <v>640</v>
      </c>
      <c r="C1383" t="str">
        <f>IF(AND(H1383=0,C1382=Summary!$P$2),Summary!$Q$2,IF(AND(H1383=0,C1382=Summary!$Q$2),Summary!$R$2,C1382))</f>
        <v>Jared</v>
      </c>
      <c r="D1383" t="str">
        <f>IF(C1383=Summary!$P$26,VLOOKUP(Summary!M1390,Summary!$Q$26:$R$27,2),IF('Run Data'!C1383=Summary!$P$28,VLOOKUP(Summary!M1390,Summary!$Q$28:$R$29,2),VLOOKUP(Summary!M1390,Summary!$Q$30:$R$32,2)))</f>
        <v>Sprig 2</v>
      </c>
      <c r="E1383" t="str">
        <f>VLOOKUP(Summary!M1393,Summary!$P$42:$Q$43,2)</f>
        <v>86</v>
      </c>
      <c r="F1383">
        <f>IF(LEFT(A1383,3)="B60",20,IF(LEFT(A1383,3)="B12",30,25))+B1383*0.5+INT(Summary!M1396*20)</f>
        <v>349</v>
      </c>
      <c r="G1383">
        <f>ROUND(IF(OR(ISERROR(FIND(Summary!$P$89,CONCATENATE(C1383,D1383,E1383))),ISERROR(FIND(Summary!$Q$89,A1383))),Summary!$R$45,IF(H1383&gt;Summary!$V$3,Summary!$R$46,Summary!$R$45))*(B1383+30),0)</f>
        <v>80</v>
      </c>
      <c r="H1383">
        <f>IF(H1382&gt;Summary!$V$4,0,H1382+F1382)</f>
        <v>132139</v>
      </c>
      <c r="I1383" s="26">
        <f>DATE(YEAR(Summary!$V$2),MONTH(Summary!$V$2),DAY(Summary!$V$2)+INT(H1383/480))</f>
        <v>43865</v>
      </c>
      <c r="J1383" s="27">
        <f t="shared" si="22"/>
        <v>0.42986111111111108</v>
      </c>
    </row>
    <row r="1384" spans="1:10">
      <c r="A1384" t="str">
        <f>VLOOKUP(Summary!M1383,Summary!$P$13:$Q$24,2)</f>
        <v>B1700-sky</v>
      </c>
      <c r="B1384">
        <f>ROUND(NORMINV(Summary!M1385,VLOOKUP(A1384,Summary!$Q$13:$S$24,3,FALSE),VLOOKUP(A1384,Summary!$Q$13:$S$24,3,FALSE)/6),-1)</f>
        <v>480</v>
      </c>
      <c r="C1384" t="str">
        <f>IF(AND(H1384=0,C1383=Summary!$P$2),Summary!$Q$2,IF(AND(H1384=0,C1383=Summary!$Q$2),Summary!$R$2,C1383))</f>
        <v>Jared</v>
      </c>
      <c r="D1384" t="str">
        <f>IF(C1384=Summary!$P$26,VLOOKUP(Summary!M1391,Summary!$Q$26:$R$27,2),IF('Run Data'!C1384=Summary!$P$28,VLOOKUP(Summary!M1391,Summary!$Q$28:$R$29,2),VLOOKUP(Summary!M1391,Summary!$Q$30:$R$32,2)))</f>
        <v>Sprig 3</v>
      </c>
      <c r="E1384" t="str">
        <f>VLOOKUP(Summary!M1394,Summary!$P$42:$Q$43,2)</f>
        <v>86</v>
      </c>
      <c r="F1384">
        <f>IF(LEFT(A1384,3)="B60",20,IF(LEFT(A1384,3)="B12",30,25))+B1384*0.5+INT(Summary!M1397*20)</f>
        <v>266</v>
      </c>
      <c r="G1384">
        <f>ROUND(IF(OR(ISERROR(FIND(Summary!$P$89,CONCATENATE(C1384,D1384,E1384))),ISERROR(FIND(Summary!$Q$89,A1384))),Summary!$R$45,IF(H1384&gt;Summary!$V$3,Summary!$R$46,Summary!$R$45))*(B1384+30),0)</f>
        <v>61</v>
      </c>
      <c r="H1384">
        <f>IF(H1383&gt;Summary!$V$4,0,H1383+F1383)</f>
        <v>132488</v>
      </c>
      <c r="I1384" s="26">
        <f>DATE(YEAR(Summary!$V$2),MONTH(Summary!$V$2),DAY(Summary!$V$2)+INT(H1384/480))</f>
        <v>43866</v>
      </c>
      <c r="J1384" s="27">
        <f t="shared" si="22"/>
        <v>0.33888888888888885</v>
      </c>
    </row>
    <row r="1385" spans="1:10">
      <c r="A1385" t="str">
        <f>VLOOKUP(Summary!M1384,Summary!$P$13:$Q$24,2)</f>
        <v>B1700-sky</v>
      </c>
      <c r="B1385">
        <f>ROUND(NORMINV(Summary!M1386,VLOOKUP(A1385,Summary!$Q$13:$S$24,3,FALSE),VLOOKUP(A1385,Summary!$Q$13:$S$24,3,FALSE)/6),-1)</f>
        <v>720</v>
      </c>
      <c r="C1385" t="str">
        <f>IF(AND(H1385=0,C1384=Summary!$P$2),Summary!$Q$2,IF(AND(H1385=0,C1384=Summary!$Q$2),Summary!$R$2,C1384))</f>
        <v>Jared</v>
      </c>
      <c r="D1385" t="str">
        <f>IF(C1385=Summary!$P$26,VLOOKUP(Summary!M1392,Summary!$Q$26:$R$27,2),IF('Run Data'!C1385=Summary!$P$28,VLOOKUP(Summary!M1392,Summary!$Q$28:$R$29,2),VLOOKUP(Summary!M1392,Summary!$Q$30:$R$32,2)))</f>
        <v>Sprig 3</v>
      </c>
      <c r="E1385" t="str">
        <f>VLOOKUP(Summary!M1395,Summary!$P$42:$Q$43,2)</f>
        <v>86</v>
      </c>
      <c r="F1385">
        <f>IF(LEFT(A1385,3)="B60",20,IF(LEFT(A1385,3)="B12",30,25))+B1385*0.5+INT(Summary!M1398*20)</f>
        <v>388</v>
      </c>
      <c r="G1385">
        <f>ROUND(IF(OR(ISERROR(FIND(Summary!$P$89,CONCATENATE(C1385,D1385,E1385))),ISERROR(FIND(Summary!$Q$89,A1385))),Summary!$R$45,IF(H1385&gt;Summary!$V$3,Summary!$R$46,Summary!$R$45))*(B1385+30),0)</f>
        <v>90</v>
      </c>
      <c r="H1385">
        <f>IF(H1384&gt;Summary!$V$4,0,H1384+F1384)</f>
        <v>132754</v>
      </c>
      <c r="I1385" s="26">
        <f>DATE(YEAR(Summary!$V$2),MONTH(Summary!$V$2),DAY(Summary!$V$2)+INT(H1385/480))</f>
        <v>43866</v>
      </c>
      <c r="J1385" s="27">
        <f t="shared" si="22"/>
        <v>0.52361111111111114</v>
      </c>
    </row>
    <row r="1386" spans="1:10">
      <c r="A1386" t="str">
        <f>VLOOKUP(Summary!M1385,Summary!$P$13:$Q$24,2)</f>
        <v>B600-lime</v>
      </c>
      <c r="B1386">
        <f>ROUND(NORMINV(Summary!M1387,VLOOKUP(A1386,Summary!$Q$13:$S$24,3,FALSE),VLOOKUP(A1386,Summary!$Q$13:$S$24,3,FALSE)/6),-1)</f>
        <v>240</v>
      </c>
      <c r="C1386" t="str">
        <f>IF(AND(H1386=0,C1385=Summary!$P$2),Summary!$Q$2,IF(AND(H1386=0,C1385=Summary!$Q$2),Summary!$R$2,C1385))</f>
        <v>Jared</v>
      </c>
      <c r="D1386" t="str">
        <f>IF(C1386=Summary!$P$26,VLOOKUP(Summary!M1393,Summary!$Q$26:$R$27,2),IF('Run Data'!C1386=Summary!$P$28,VLOOKUP(Summary!M1393,Summary!$Q$28:$R$29,2),VLOOKUP(Summary!M1393,Summary!$Q$30:$R$32,2)))</f>
        <v>Sprig 3</v>
      </c>
      <c r="E1386" t="str">
        <f>VLOOKUP(Summary!M1396,Summary!$P$42:$Q$43,2)</f>
        <v>86</v>
      </c>
      <c r="F1386">
        <f>IF(LEFT(A1386,3)="B60",20,IF(LEFT(A1386,3)="B12",30,25))+B1386*0.5+INT(Summary!M1399*20)</f>
        <v>152</v>
      </c>
      <c r="G1386">
        <f>ROUND(IF(OR(ISERROR(FIND(Summary!$P$89,CONCATENATE(C1386,D1386,E1386))),ISERROR(FIND(Summary!$Q$89,A1386))),Summary!$R$45,IF(H1386&gt;Summary!$V$3,Summary!$R$46,Summary!$R$45))*(B1386+30),0)</f>
        <v>3</v>
      </c>
      <c r="H1386">
        <f>IF(H1385&gt;Summary!$V$4,0,H1385+F1385)</f>
        <v>133142</v>
      </c>
      <c r="I1386" s="26">
        <f>DATE(YEAR(Summary!$V$2),MONTH(Summary!$V$2),DAY(Summary!$V$2)+INT(H1386/480))</f>
        <v>43867</v>
      </c>
      <c r="J1386" s="27">
        <f t="shared" si="22"/>
        <v>0.4597222222222222</v>
      </c>
    </row>
    <row r="1387" spans="1:10">
      <c r="A1387" t="str">
        <f>VLOOKUP(Summary!M1386,Summary!$P$13:$Q$24,2)</f>
        <v>B1700-lime</v>
      </c>
      <c r="B1387">
        <f>ROUND(NORMINV(Summary!M1388,VLOOKUP(A1387,Summary!$Q$13:$S$24,3,FALSE),VLOOKUP(A1387,Summary!$Q$13:$S$24,3,FALSE)/6),-1)</f>
        <v>420</v>
      </c>
      <c r="C1387" t="str">
        <f>IF(AND(H1387=0,C1386=Summary!$P$2),Summary!$Q$2,IF(AND(H1387=0,C1386=Summary!$Q$2),Summary!$R$2,C1386))</f>
        <v>Jared</v>
      </c>
      <c r="D1387" t="str">
        <f>IF(C1387=Summary!$P$26,VLOOKUP(Summary!M1394,Summary!$Q$26:$R$27,2),IF('Run Data'!C1387=Summary!$P$28,VLOOKUP(Summary!M1394,Summary!$Q$28:$R$29,2),VLOOKUP(Summary!M1394,Summary!$Q$30:$R$32,2)))</f>
        <v>Sprig 2</v>
      </c>
      <c r="E1387" t="str">
        <f>VLOOKUP(Summary!M1397,Summary!$P$42:$Q$43,2)</f>
        <v>86</v>
      </c>
      <c r="F1387">
        <f>IF(LEFT(A1387,3)="B60",20,IF(LEFT(A1387,3)="B12",30,25))+B1387*0.5+INT(Summary!M1400*20)</f>
        <v>239</v>
      </c>
      <c r="G1387">
        <f>ROUND(IF(OR(ISERROR(FIND(Summary!$P$89,CONCATENATE(C1387,D1387,E1387))),ISERROR(FIND(Summary!$Q$89,A1387))),Summary!$R$45,IF(H1387&gt;Summary!$V$3,Summary!$R$46,Summary!$R$45))*(B1387+30),0)</f>
        <v>54</v>
      </c>
      <c r="H1387">
        <f>IF(H1386&gt;Summary!$V$4,0,H1386+F1386)</f>
        <v>133294</v>
      </c>
      <c r="I1387" s="26">
        <f>DATE(YEAR(Summary!$V$2),MONTH(Summary!$V$2),DAY(Summary!$V$2)+INT(H1387/480))</f>
        <v>43867</v>
      </c>
      <c r="J1387" s="27">
        <f t="shared" si="22"/>
        <v>0.56527777777777777</v>
      </c>
    </row>
    <row r="1388" spans="1:10">
      <c r="A1388" t="str">
        <f>VLOOKUP(Summary!M1387,Summary!$P$13:$Q$24,2)</f>
        <v>B600-fire</v>
      </c>
      <c r="B1388">
        <f>ROUND(NORMINV(Summary!M1389,VLOOKUP(A1388,Summary!$Q$13:$S$24,3,FALSE),VLOOKUP(A1388,Summary!$Q$13:$S$24,3,FALSE)/6),-1)</f>
        <v>300</v>
      </c>
      <c r="C1388" t="str">
        <f>IF(AND(H1388=0,C1387=Summary!$P$2),Summary!$Q$2,IF(AND(H1388=0,C1387=Summary!$Q$2),Summary!$R$2,C1387))</f>
        <v>Jared</v>
      </c>
      <c r="D1388" t="str">
        <f>IF(C1388=Summary!$P$26,VLOOKUP(Summary!M1395,Summary!$Q$26:$R$27,2),IF('Run Data'!C1388=Summary!$P$28,VLOOKUP(Summary!M1395,Summary!$Q$28:$R$29,2),VLOOKUP(Summary!M1395,Summary!$Q$30:$R$32,2)))</f>
        <v>Sprig 2</v>
      </c>
      <c r="E1388" t="str">
        <f>VLOOKUP(Summary!M1398,Summary!$P$42:$Q$43,2)</f>
        <v>86</v>
      </c>
      <c r="F1388">
        <f>IF(LEFT(A1388,3)="B60",20,IF(LEFT(A1388,3)="B12",30,25))+B1388*0.5+INT(Summary!M1401*20)</f>
        <v>179</v>
      </c>
      <c r="G1388">
        <f>ROUND(IF(OR(ISERROR(FIND(Summary!$P$89,CONCATENATE(C1388,D1388,E1388))),ISERROR(FIND(Summary!$Q$89,A1388))),Summary!$R$45,IF(H1388&gt;Summary!$V$3,Summary!$R$46,Summary!$R$45))*(B1388+30),0)</f>
        <v>3</v>
      </c>
      <c r="H1388">
        <f>IF(H1387&gt;Summary!$V$4,0,H1387+F1387)</f>
        <v>133533</v>
      </c>
      <c r="I1388" s="26">
        <f>DATE(YEAR(Summary!$V$2),MONTH(Summary!$V$2),DAY(Summary!$V$2)+INT(H1388/480))</f>
        <v>43868</v>
      </c>
      <c r="J1388" s="27">
        <f t="shared" si="22"/>
        <v>0.3979166666666667</v>
      </c>
    </row>
    <row r="1389" spans="1:10">
      <c r="A1389" t="str">
        <f>VLOOKUP(Summary!M1388,Summary!$P$13:$Q$24,2)</f>
        <v>B1200-lime</v>
      </c>
      <c r="B1389">
        <f>ROUND(NORMINV(Summary!M1390,VLOOKUP(A1389,Summary!$Q$13:$S$24,3,FALSE),VLOOKUP(A1389,Summary!$Q$13:$S$24,3,FALSE)/6),-1)</f>
        <v>750</v>
      </c>
      <c r="C1389" t="str">
        <f>IF(AND(H1389=0,C1388=Summary!$P$2),Summary!$Q$2,IF(AND(H1389=0,C1388=Summary!$Q$2),Summary!$R$2,C1388))</f>
        <v>Jared</v>
      </c>
      <c r="D1389" t="str">
        <f>IF(C1389=Summary!$P$26,VLOOKUP(Summary!M1396,Summary!$Q$26:$R$27,2),IF('Run Data'!C1389=Summary!$P$28,VLOOKUP(Summary!M1396,Summary!$Q$28:$R$29,2),VLOOKUP(Summary!M1396,Summary!$Q$30:$R$32,2)))</f>
        <v>Sprig 2</v>
      </c>
      <c r="E1389" t="str">
        <f>VLOOKUP(Summary!M1399,Summary!$P$42:$Q$43,2)</f>
        <v>86</v>
      </c>
      <c r="F1389">
        <f>IF(LEFT(A1389,3)="B60",20,IF(LEFT(A1389,3)="B12",30,25))+B1389*0.5+INT(Summary!M1402*20)</f>
        <v>414</v>
      </c>
      <c r="G1389">
        <f>ROUND(IF(OR(ISERROR(FIND(Summary!$P$89,CONCATENATE(C1389,D1389,E1389))),ISERROR(FIND(Summary!$Q$89,A1389))),Summary!$R$45,IF(H1389&gt;Summary!$V$3,Summary!$R$46,Summary!$R$45))*(B1389+30),0)</f>
        <v>8</v>
      </c>
      <c r="H1389">
        <f>IF(H1388&gt;Summary!$V$4,0,H1388+F1388)</f>
        <v>133712</v>
      </c>
      <c r="I1389" s="26">
        <f>DATE(YEAR(Summary!$V$2),MONTH(Summary!$V$2),DAY(Summary!$V$2)+INT(H1389/480))</f>
        <v>43868</v>
      </c>
      <c r="J1389" s="27">
        <f t="shared" si="22"/>
        <v>0.52222222222222225</v>
      </c>
    </row>
    <row r="1390" spans="1:10">
      <c r="A1390" t="str">
        <f>VLOOKUP(Summary!M1389,Summary!$P$13:$Q$24,2)</f>
        <v>B600-sky</v>
      </c>
      <c r="B1390">
        <f>ROUND(NORMINV(Summary!M1391,VLOOKUP(A1390,Summary!$Q$13:$S$24,3,FALSE),VLOOKUP(A1390,Summary!$Q$13:$S$24,3,FALSE)/6),-1)</f>
        <v>550</v>
      </c>
      <c r="C1390" t="str">
        <f>IF(AND(H1390=0,C1389=Summary!$P$2),Summary!$Q$2,IF(AND(H1390=0,C1389=Summary!$Q$2),Summary!$R$2,C1389))</f>
        <v>Jared</v>
      </c>
      <c r="D1390" t="str">
        <f>IF(C1390=Summary!$P$26,VLOOKUP(Summary!M1397,Summary!$Q$26:$R$27,2),IF('Run Data'!C1390=Summary!$P$28,VLOOKUP(Summary!M1397,Summary!$Q$28:$R$29,2),VLOOKUP(Summary!M1397,Summary!$Q$30:$R$32,2)))</f>
        <v>Sprig 1</v>
      </c>
      <c r="E1390" t="str">
        <f>VLOOKUP(Summary!M1400,Summary!$P$42:$Q$43,2)</f>
        <v>86</v>
      </c>
      <c r="F1390">
        <f>IF(LEFT(A1390,3)="B60",20,IF(LEFT(A1390,3)="B12",30,25))+B1390*0.5+INT(Summary!M1403*20)</f>
        <v>309</v>
      </c>
      <c r="G1390">
        <f>ROUND(IF(OR(ISERROR(FIND(Summary!$P$89,CONCATENATE(C1390,D1390,E1390))),ISERROR(FIND(Summary!$Q$89,A1390))),Summary!$R$45,IF(H1390&gt;Summary!$V$3,Summary!$R$46,Summary!$R$45))*(B1390+30),0)</f>
        <v>6</v>
      </c>
      <c r="H1390">
        <f>IF(H1389&gt;Summary!$V$4,0,H1389+F1389)</f>
        <v>134126</v>
      </c>
      <c r="I1390" s="26">
        <f>DATE(YEAR(Summary!$V$2),MONTH(Summary!$V$2),DAY(Summary!$V$2)+INT(H1390/480))</f>
        <v>43869</v>
      </c>
      <c r="J1390" s="27">
        <f t="shared" si="22"/>
        <v>0.47638888888888892</v>
      </c>
    </row>
    <row r="1391" spans="1:10">
      <c r="A1391" t="str">
        <f>VLOOKUP(Summary!M1390,Summary!$P$13:$Q$24,2)</f>
        <v>B1200-sky</v>
      </c>
      <c r="B1391">
        <f>ROUND(NORMINV(Summary!M1392,VLOOKUP(A1391,Summary!$Q$13:$S$24,3,FALSE),VLOOKUP(A1391,Summary!$Q$13:$S$24,3,FALSE)/6),-1)</f>
        <v>1670</v>
      </c>
      <c r="C1391" t="str">
        <f>IF(AND(H1391=0,C1390=Summary!$P$2),Summary!$Q$2,IF(AND(H1391=0,C1390=Summary!$Q$2),Summary!$R$2,C1390))</f>
        <v>Jared</v>
      </c>
      <c r="D1391" t="str">
        <f>IF(C1391=Summary!$P$26,VLOOKUP(Summary!M1398,Summary!$Q$26:$R$27,2),IF('Run Data'!C1391=Summary!$P$28,VLOOKUP(Summary!M1398,Summary!$Q$28:$R$29,2),VLOOKUP(Summary!M1398,Summary!$Q$30:$R$32,2)))</f>
        <v>Sprig 1</v>
      </c>
      <c r="E1391" t="str">
        <f>VLOOKUP(Summary!M1401,Summary!$P$42:$Q$43,2)</f>
        <v>86</v>
      </c>
      <c r="F1391">
        <f>IF(LEFT(A1391,3)="B60",20,IF(LEFT(A1391,3)="B12",30,25))+B1391*0.5+INT(Summary!M1404*20)</f>
        <v>871</v>
      </c>
      <c r="G1391">
        <f>ROUND(IF(OR(ISERROR(FIND(Summary!$P$89,CONCATENATE(C1391,D1391,E1391))),ISERROR(FIND(Summary!$Q$89,A1391))),Summary!$R$45,IF(H1391&gt;Summary!$V$3,Summary!$R$46,Summary!$R$45))*(B1391+30),0)</f>
        <v>17</v>
      </c>
      <c r="H1391">
        <f>IF(H1390&gt;Summary!$V$4,0,H1390+F1390)</f>
        <v>134435</v>
      </c>
      <c r="I1391" s="26">
        <f>DATE(YEAR(Summary!$V$2),MONTH(Summary!$V$2),DAY(Summary!$V$2)+INT(H1391/480))</f>
        <v>43870</v>
      </c>
      <c r="J1391" s="27">
        <f t="shared" si="22"/>
        <v>0.3576388888888889</v>
      </c>
    </row>
    <row r="1392" spans="1:10">
      <c r="A1392" t="str">
        <f>VLOOKUP(Summary!M1391,Summary!$P$13:$Q$24,2)</f>
        <v>B1700-plum</v>
      </c>
      <c r="B1392">
        <f>ROUND(NORMINV(Summary!M1393,VLOOKUP(A1392,Summary!$Q$13:$S$24,3,FALSE),VLOOKUP(A1392,Summary!$Q$13:$S$24,3,FALSE)/6),-1)</f>
        <v>320</v>
      </c>
      <c r="C1392" t="str">
        <f>IF(AND(H1392=0,C1391=Summary!$P$2),Summary!$Q$2,IF(AND(H1392=0,C1391=Summary!$Q$2),Summary!$R$2,C1391))</f>
        <v>Jared</v>
      </c>
      <c r="D1392" t="str">
        <f>IF(C1392=Summary!$P$26,VLOOKUP(Summary!M1399,Summary!$Q$26:$R$27,2),IF('Run Data'!C1392=Summary!$P$28,VLOOKUP(Summary!M1399,Summary!$Q$28:$R$29,2),VLOOKUP(Summary!M1399,Summary!$Q$30:$R$32,2)))</f>
        <v>Sprig 3</v>
      </c>
      <c r="E1392" t="str">
        <f>VLOOKUP(Summary!M1402,Summary!$P$42:$Q$43,2)</f>
        <v>86</v>
      </c>
      <c r="F1392">
        <f>IF(LEFT(A1392,3)="B60",20,IF(LEFT(A1392,3)="B12",30,25))+B1392*0.5+INT(Summary!M1405*20)</f>
        <v>199</v>
      </c>
      <c r="G1392">
        <f>ROUND(IF(OR(ISERROR(FIND(Summary!$P$89,CONCATENATE(C1392,D1392,E1392))),ISERROR(FIND(Summary!$Q$89,A1392))),Summary!$R$45,IF(H1392&gt;Summary!$V$3,Summary!$R$46,Summary!$R$45))*(B1392+30),0)</f>
        <v>42</v>
      </c>
      <c r="H1392">
        <f>IF(H1391&gt;Summary!$V$4,0,H1391+F1391)</f>
        <v>135306</v>
      </c>
      <c r="I1392" s="26">
        <f>DATE(YEAR(Summary!$V$2),MONTH(Summary!$V$2),DAY(Summary!$V$2)+INT(H1392/480))</f>
        <v>43871</v>
      </c>
      <c r="J1392" s="27">
        <f t="shared" si="22"/>
        <v>0.62916666666666665</v>
      </c>
    </row>
    <row r="1393" spans="1:10">
      <c r="A1393" t="str">
        <f>VLOOKUP(Summary!M1392,Summary!$P$13:$Q$24,2)</f>
        <v>B1700-lime</v>
      </c>
      <c r="B1393">
        <f>ROUND(NORMINV(Summary!M1394,VLOOKUP(A1393,Summary!$Q$13:$S$24,3,FALSE),VLOOKUP(A1393,Summary!$Q$13:$S$24,3,FALSE)/6),-1)</f>
        <v>390</v>
      </c>
      <c r="C1393" t="str">
        <f>IF(AND(H1393=0,C1392=Summary!$P$2),Summary!$Q$2,IF(AND(H1393=0,C1392=Summary!$Q$2),Summary!$R$2,C1392))</f>
        <v>Jared</v>
      </c>
      <c r="D1393" t="str">
        <f>IF(C1393=Summary!$P$26,VLOOKUP(Summary!M1400,Summary!$Q$26:$R$27,2),IF('Run Data'!C1393=Summary!$P$28,VLOOKUP(Summary!M1400,Summary!$Q$28:$R$29,2),VLOOKUP(Summary!M1400,Summary!$Q$30:$R$32,2)))</f>
        <v>Sprig 2</v>
      </c>
      <c r="E1393" t="str">
        <f>VLOOKUP(Summary!M1403,Summary!$P$42:$Q$43,2)</f>
        <v>86</v>
      </c>
      <c r="F1393">
        <f>IF(LEFT(A1393,3)="B60",20,IF(LEFT(A1393,3)="B12",30,25))+B1393*0.5+INT(Summary!M1406*20)</f>
        <v>237</v>
      </c>
      <c r="G1393">
        <f>ROUND(IF(OR(ISERROR(FIND(Summary!$P$89,CONCATENATE(C1393,D1393,E1393))),ISERROR(FIND(Summary!$Q$89,A1393))),Summary!$R$45,IF(H1393&gt;Summary!$V$3,Summary!$R$46,Summary!$R$45))*(B1393+30),0)</f>
        <v>50</v>
      </c>
      <c r="H1393">
        <f>IF(H1392&gt;Summary!$V$4,0,H1392+F1392)</f>
        <v>135505</v>
      </c>
      <c r="I1393" s="26">
        <f>DATE(YEAR(Summary!$V$2),MONTH(Summary!$V$2),DAY(Summary!$V$2)+INT(H1393/480))</f>
        <v>43872</v>
      </c>
      <c r="J1393" s="27">
        <f t="shared" si="22"/>
        <v>0.43402777777777773</v>
      </c>
    </row>
    <row r="1394" spans="1:10">
      <c r="A1394" t="str">
        <f>VLOOKUP(Summary!M1393,Summary!$P$13:$Q$24,2)</f>
        <v>B1200-lime</v>
      </c>
      <c r="B1394">
        <f>ROUND(NORMINV(Summary!M1395,VLOOKUP(A1394,Summary!$Q$13:$S$24,3,FALSE),VLOOKUP(A1394,Summary!$Q$13:$S$24,3,FALSE)/6),-1)</f>
        <v>800</v>
      </c>
      <c r="C1394" t="str">
        <f>IF(AND(H1394=0,C1393=Summary!$P$2),Summary!$Q$2,IF(AND(H1394=0,C1393=Summary!$Q$2),Summary!$R$2,C1393))</f>
        <v>Jared</v>
      </c>
      <c r="D1394" t="str">
        <f>IF(C1394=Summary!$P$26,VLOOKUP(Summary!M1401,Summary!$Q$26:$R$27,2),IF('Run Data'!C1394=Summary!$P$28,VLOOKUP(Summary!M1401,Summary!$Q$28:$R$29,2),VLOOKUP(Summary!M1401,Summary!$Q$30:$R$32,2)))</f>
        <v>Sprig 2</v>
      </c>
      <c r="E1394" t="str">
        <f>VLOOKUP(Summary!M1404,Summary!$P$42:$Q$43,2)</f>
        <v>86</v>
      </c>
      <c r="F1394">
        <f>IF(LEFT(A1394,3)="B60",20,IF(LEFT(A1394,3)="B12",30,25))+B1394*0.5+INT(Summary!M1407*20)</f>
        <v>445</v>
      </c>
      <c r="G1394">
        <f>ROUND(IF(OR(ISERROR(FIND(Summary!$P$89,CONCATENATE(C1394,D1394,E1394))),ISERROR(FIND(Summary!$Q$89,A1394))),Summary!$R$45,IF(H1394&gt;Summary!$V$3,Summary!$R$46,Summary!$R$45))*(B1394+30),0)</f>
        <v>8</v>
      </c>
      <c r="H1394">
        <f>IF(H1393&gt;Summary!$V$4,0,H1393+F1393)</f>
        <v>135742</v>
      </c>
      <c r="I1394" s="26">
        <f>DATE(YEAR(Summary!$V$2),MONTH(Summary!$V$2),DAY(Summary!$V$2)+INT(H1394/480))</f>
        <v>43872</v>
      </c>
      <c r="J1394" s="27">
        <f t="shared" si="22"/>
        <v>0.59861111111111109</v>
      </c>
    </row>
    <row r="1395" spans="1:10">
      <c r="A1395" t="str">
        <f>VLOOKUP(Summary!M1394,Summary!$P$13:$Q$24,2)</f>
        <v>B1200-sky</v>
      </c>
      <c r="B1395">
        <f>ROUND(NORMINV(Summary!M1396,VLOOKUP(A1395,Summary!$Q$13:$S$24,3,FALSE),VLOOKUP(A1395,Summary!$Q$13:$S$24,3,FALSE)/6),-1)</f>
        <v>1040</v>
      </c>
      <c r="C1395" t="str">
        <f>IF(AND(H1395=0,C1394=Summary!$P$2),Summary!$Q$2,IF(AND(H1395=0,C1394=Summary!$Q$2),Summary!$R$2,C1394))</f>
        <v>Jared</v>
      </c>
      <c r="D1395" t="str">
        <f>IF(C1395=Summary!$P$26,VLOOKUP(Summary!M1402,Summary!$Q$26:$R$27,2),IF('Run Data'!C1395=Summary!$P$28,VLOOKUP(Summary!M1402,Summary!$Q$28:$R$29,2),VLOOKUP(Summary!M1402,Summary!$Q$30:$R$32,2)))</f>
        <v>Sprig 2</v>
      </c>
      <c r="E1395" t="str">
        <f>VLOOKUP(Summary!M1405,Summary!$P$42:$Q$43,2)</f>
        <v>86</v>
      </c>
      <c r="F1395">
        <f>IF(LEFT(A1395,3)="B60",20,IF(LEFT(A1395,3)="B12",30,25))+B1395*0.5+INT(Summary!M1408*20)</f>
        <v>552</v>
      </c>
      <c r="G1395">
        <f>ROUND(IF(OR(ISERROR(FIND(Summary!$P$89,CONCATENATE(C1395,D1395,E1395))),ISERROR(FIND(Summary!$Q$89,A1395))),Summary!$R$45,IF(H1395&gt;Summary!$V$3,Summary!$R$46,Summary!$R$45))*(B1395+30),0)</f>
        <v>11</v>
      </c>
      <c r="H1395">
        <f>IF(H1394&gt;Summary!$V$4,0,H1394+F1394)</f>
        <v>136187</v>
      </c>
      <c r="I1395" s="26">
        <f>DATE(YEAR(Summary!$V$2),MONTH(Summary!$V$2),DAY(Summary!$V$2)+INT(H1395/480))</f>
        <v>43873</v>
      </c>
      <c r="J1395" s="27">
        <f t="shared" si="22"/>
        <v>0.57430555555555551</v>
      </c>
    </row>
    <row r="1396" spans="1:10">
      <c r="A1396" t="str">
        <f>VLOOKUP(Summary!M1395,Summary!$P$13:$Q$24,2)</f>
        <v>B1200-fire</v>
      </c>
      <c r="B1396">
        <f>ROUND(NORMINV(Summary!M1397,VLOOKUP(A1396,Summary!$Q$13:$S$24,3,FALSE),VLOOKUP(A1396,Summary!$Q$13:$S$24,3,FALSE)/6),-1)</f>
        <v>880</v>
      </c>
      <c r="C1396" t="str">
        <f>IF(AND(H1396=0,C1395=Summary!$P$2),Summary!$Q$2,IF(AND(H1396=0,C1395=Summary!$Q$2),Summary!$R$2,C1395))</f>
        <v>Jared</v>
      </c>
      <c r="D1396" t="str">
        <f>IF(C1396=Summary!$P$26,VLOOKUP(Summary!M1403,Summary!$Q$26:$R$27,2),IF('Run Data'!C1396=Summary!$P$28,VLOOKUP(Summary!M1403,Summary!$Q$28:$R$29,2),VLOOKUP(Summary!M1403,Summary!$Q$30:$R$32,2)))</f>
        <v>Sprig 3</v>
      </c>
      <c r="E1396" t="str">
        <f>VLOOKUP(Summary!M1406,Summary!$P$42:$Q$43,2)</f>
        <v>87b</v>
      </c>
      <c r="F1396">
        <f>IF(LEFT(A1396,3)="B60",20,IF(LEFT(A1396,3)="B12",30,25))+B1396*0.5+INT(Summary!M1409*20)</f>
        <v>484</v>
      </c>
      <c r="G1396">
        <f>ROUND(IF(OR(ISERROR(FIND(Summary!$P$89,CONCATENATE(C1396,D1396,E1396))),ISERROR(FIND(Summary!$Q$89,A1396))),Summary!$R$45,IF(H1396&gt;Summary!$V$3,Summary!$R$46,Summary!$R$45))*(B1396+30),0)</f>
        <v>9</v>
      </c>
      <c r="H1396">
        <f>IF(H1395&gt;Summary!$V$4,0,H1395+F1395)</f>
        <v>136739</v>
      </c>
      <c r="I1396" s="26">
        <f>DATE(YEAR(Summary!$V$2),MONTH(Summary!$V$2),DAY(Summary!$V$2)+INT(H1396/480))</f>
        <v>43874</v>
      </c>
      <c r="J1396" s="27">
        <f t="shared" si="22"/>
        <v>0.62430555555555556</v>
      </c>
    </row>
    <row r="1397" spans="1:10">
      <c r="A1397" t="str">
        <f>VLOOKUP(Summary!M1396,Summary!$P$13:$Q$24,2)</f>
        <v>B600-lime</v>
      </c>
      <c r="B1397">
        <f>ROUND(NORMINV(Summary!M1398,VLOOKUP(A1397,Summary!$Q$13:$S$24,3,FALSE),VLOOKUP(A1397,Summary!$Q$13:$S$24,3,FALSE)/6),-1)</f>
        <v>250</v>
      </c>
      <c r="C1397" t="str">
        <f>IF(AND(H1397=0,C1396=Summary!$P$2),Summary!$Q$2,IF(AND(H1397=0,C1396=Summary!$Q$2),Summary!$R$2,C1396))</f>
        <v>Jared</v>
      </c>
      <c r="D1397" t="str">
        <f>IF(C1397=Summary!$P$26,VLOOKUP(Summary!M1404,Summary!$Q$26:$R$27,2),IF('Run Data'!C1397=Summary!$P$28,VLOOKUP(Summary!M1404,Summary!$Q$28:$R$29,2),VLOOKUP(Summary!M1404,Summary!$Q$30:$R$32,2)))</f>
        <v>Sprig 2</v>
      </c>
      <c r="E1397" t="str">
        <f>VLOOKUP(Summary!M1407,Summary!$P$42:$Q$43,2)</f>
        <v>86</v>
      </c>
      <c r="F1397">
        <f>IF(LEFT(A1397,3)="B60",20,IF(LEFT(A1397,3)="B12",30,25))+B1397*0.5+INT(Summary!M1410*20)</f>
        <v>151</v>
      </c>
      <c r="G1397">
        <f>ROUND(IF(OR(ISERROR(FIND(Summary!$P$89,CONCATENATE(C1397,D1397,E1397))),ISERROR(FIND(Summary!$Q$89,A1397))),Summary!$R$45,IF(H1397&gt;Summary!$V$3,Summary!$R$46,Summary!$R$45))*(B1397+30),0)</f>
        <v>3</v>
      </c>
      <c r="H1397">
        <f>IF(H1396&gt;Summary!$V$4,0,H1396+F1396)</f>
        <v>137223</v>
      </c>
      <c r="I1397" s="26">
        <f>DATE(YEAR(Summary!$V$2),MONTH(Summary!$V$2),DAY(Summary!$V$2)+INT(H1397/480))</f>
        <v>43875</v>
      </c>
      <c r="J1397" s="27">
        <f t="shared" si="22"/>
        <v>0.62708333333333333</v>
      </c>
    </row>
    <row r="1398" spans="1:10">
      <c r="A1398" t="str">
        <f>VLOOKUP(Summary!M1397,Summary!$P$13:$Q$24,2)</f>
        <v>B600-sky</v>
      </c>
      <c r="B1398">
        <f>ROUND(NORMINV(Summary!M1399,VLOOKUP(A1398,Summary!$Q$13:$S$24,3,FALSE),VLOOKUP(A1398,Summary!$Q$13:$S$24,3,FALSE)/6),-1)</f>
        <v>530</v>
      </c>
      <c r="C1398" t="str">
        <f>IF(AND(H1398=0,C1397=Summary!$P$2),Summary!$Q$2,IF(AND(H1398=0,C1397=Summary!$Q$2),Summary!$R$2,C1397))</f>
        <v>Jared</v>
      </c>
      <c r="D1398" t="str">
        <f>IF(C1398=Summary!$P$26,VLOOKUP(Summary!M1405,Summary!$Q$26:$R$27,2),IF('Run Data'!C1398=Summary!$P$28,VLOOKUP(Summary!M1405,Summary!$Q$28:$R$29,2),VLOOKUP(Summary!M1405,Summary!$Q$30:$R$32,2)))</f>
        <v>Sprig 3</v>
      </c>
      <c r="E1398" t="str">
        <f>VLOOKUP(Summary!M1408,Summary!$P$42:$Q$43,2)</f>
        <v>86</v>
      </c>
      <c r="F1398">
        <f>IF(LEFT(A1398,3)="B60",20,IF(LEFT(A1398,3)="B12",30,25))+B1398*0.5+INT(Summary!M1411*20)</f>
        <v>294</v>
      </c>
      <c r="G1398">
        <f>ROUND(IF(OR(ISERROR(FIND(Summary!$P$89,CONCATENATE(C1398,D1398,E1398))),ISERROR(FIND(Summary!$Q$89,A1398))),Summary!$R$45,IF(H1398&gt;Summary!$V$3,Summary!$R$46,Summary!$R$45))*(B1398+30),0)</f>
        <v>6</v>
      </c>
      <c r="H1398">
        <f>IF(H1397&gt;Summary!$V$4,0,H1397+F1397)</f>
        <v>137374</v>
      </c>
      <c r="I1398" s="26">
        <f>DATE(YEAR(Summary!$V$2),MONTH(Summary!$V$2),DAY(Summary!$V$2)+INT(H1398/480))</f>
        <v>43876</v>
      </c>
      <c r="J1398" s="27">
        <f t="shared" si="22"/>
        <v>0.39861111111111108</v>
      </c>
    </row>
    <row r="1399" spans="1:10">
      <c r="A1399" t="str">
        <f>VLOOKUP(Summary!M1398,Summary!$P$13:$Q$24,2)</f>
        <v>B600-fire</v>
      </c>
      <c r="B1399">
        <f>ROUND(NORMINV(Summary!M1400,VLOOKUP(A1399,Summary!$Q$13:$S$24,3,FALSE),VLOOKUP(A1399,Summary!$Q$13:$S$24,3,FALSE)/6),-1)</f>
        <v>350</v>
      </c>
      <c r="C1399" t="str">
        <f>IF(AND(H1399=0,C1398=Summary!$P$2),Summary!$Q$2,IF(AND(H1399=0,C1398=Summary!$Q$2),Summary!$R$2,C1398))</f>
        <v>Jared</v>
      </c>
      <c r="D1399" t="str">
        <f>IF(C1399=Summary!$P$26,VLOOKUP(Summary!M1406,Summary!$Q$26:$R$27,2),IF('Run Data'!C1399=Summary!$P$28,VLOOKUP(Summary!M1406,Summary!$Q$28:$R$29,2),VLOOKUP(Summary!M1406,Summary!$Q$30:$R$32,2)))</f>
        <v>Sprig 3</v>
      </c>
      <c r="E1399" t="str">
        <f>VLOOKUP(Summary!M1409,Summary!$P$42:$Q$43,2)</f>
        <v>86</v>
      </c>
      <c r="F1399">
        <f>IF(LEFT(A1399,3)="B60",20,IF(LEFT(A1399,3)="B12",30,25))+B1399*0.5+INT(Summary!M1412*20)</f>
        <v>202</v>
      </c>
      <c r="G1399">
        <f>ROUND(IF(OR(ISERROR(FIND(Summary!$P$89,CONCATENATE(C1399,D1399,E1399))),ISERROR(FIND(Summary!$Q$89,A1399))),Summary!$R$45,IF(H1399&gt;Summary!$V$3,Summary!$R$46,Summary!$R$45))*(B1399+30),0)</f>
        <v>4</v>
      </c>
      <c r="H1399">
        <f>IF(H1398&gt;Summary!$V$4,0,H1398+F1398)</f>
        <v>137668</v>
      </c>
      <c r="I1399" s="26">
        <f>DATE(YEAR(Summary!$V$2),MONTH(Summary!$V$2),DAY(Summary!$V$2)+INT(H1399/480))</f>
        <v>43876</v>
      </c>
      <c r="J1399" s="27">
        <f t="shared" si="22"/>
        <v>0.60277777777777775</v>
      </c>
    </row>
    <row r="1400" spans="1:10">
      <c r="A1400" t="str">
        <f>VLOOKUP(Summary!M1399,Summary!$P$13:$Q$24,2)</f>
        <v>B1200-lime</v>
      </c>
      <c r="B1400">
        <f>ROUND(NORMINV(Summary!M1401,VLOOKUP(A1400,Summary!$Q$13:$S$24,3,FALSE),VLOOKUP(A1400,Summary!$Q$13:$S$24,3,FALSE)/6),-1)</f>
        <v>790</v>
      </c>
      <c r="C1400" t="str">
        <f>IF(AND(H1400=0,C1399=Summary!$P$2),Summary!$Q$2,IF(AND(H1400=0,C1399=Summary!$Q$2),Summary!$R$2,C1399))</f>
        <v>Jared</v>
      </c>
      <c r="D1400" t="str">
        <f>IF(C1400=Summary!$P$26,VLOOKUP(Summary!M1407,Summary!$Q$26:$R$27,2),IF('Run Data'!C1400=Summary!$P$28,VLOOKUP(Summary!M1407,Summary!$Q$28:$R$29,2),VLOOKUP(Summary!M1407,Summary!$Q$30:$R$32,2)))</f>
        <v>Sprig 3</v>
      </c>
      <c r="E1400" t="str">
        <f>VLOOKUP(Summary!M1410,Summary!$P$42:$Q$43,2)</f>
        <v>86</v>
      </c>
      <c r="F1400">
        <f>IF(LEFT(A1400,3)="B60",20,IF(LEFT(A1400,3)="B12",30,25))+B1400*0.5+INT(Summary!M1413*20)</f>
        <v>436</v>
      </c>
      <c r="G1400">
        <f>ROUND(IF(OR(ISERROR(FIND(Summary!$P$89,CONCATENATE(C1400,D1400,E1400))),ISERROR(FIND(Summary!$Q$89,A1400))),Summary!$R$45,IF(H1400&gt;Summary!$V$3,Summary!$R$46,Summary!$R$45))*(B1400+30),0)</f>
        <v>8</v>
      </c>
      <c r="H1400">
        <f>IF(H1399&gt;Summary!$V$4,0,H1399+F1399)</f>
        <v>137870</v>
      </c>
      <c r="I1400" s="26">
        <f>DATE(YEAR(Summary!$V$2),MONTH(Summary!$V$2),DAY(Summary!$V$2)+INT(H1400/480))</f>
        <v>43877</v>
      </c>
      <c r="J1400" s="27">
        <f t="shared" si="22"/>
        <v>0.40972222222222227</v>
      </c>
    </row>
    <row r="1401" spans="1:10">
      <c r="A1401" t="str">
        <f>VLOOKUP(Summary!M1400,Summary!$P$13:$Q$24,2)</f>
        <v>B1200-plum</v>
      </c>
      <c r="B1401">
        <f>ROUND(NORMINV(Summary!M1402,VLOOKUP(A1401,Summary!$Q$13:$S$24,3,FALSE),VLOOKUP(A1401,Summary!$Q$13:$S$24,3,FALSE)/6),-1)</f>
        <v>450</v>
      </c>
      <c r="C1401" t="str">
        <f>IF(AND(H1401=0,C1400=Summary!$P$2),Summary!$Q$2,IF(AND(H1401=0,C1400=Summary!$Q$2),Summary!$R$2,C1400))</f>
        <v>Jared</v>
      </c>
      <c r="D1401" t="str">
        <f>IF(C1401=Summary!$P$26,VLOOKUP(Summary!M1408,Summary!$Q$26:$R$27,2),IF('Run Data'!C1401=Summary!$P$28,VLOOKUP(Summary!M1408,Summary!$Q$28:$R$29,2),VLOOKUP(Summary!M1408,Summary!$Q$30:$R$32,2)))</f>
        <v>Sprig 1</v>
      </c>
      <c r="E1401" t="str">
        <f>VLOOKUP(Summary!M1411,Summary!$P$42:$Q$43,2)</f>
        <v>86</v>
      </c>
      <c r="F1401">
        <f>IF(LEFT(A1401,3)="B60",20,IF(LEFT(A1401,3)="B12",30,25))+B1401*0.5+INT(Summary!M1414*20)</f>
        <v>256</v>
      </c>
      <c r="G1401">
        <f>ROUND(IF(OR(ISERROR(FIND(Summary!$P$89,CONCATENATE(C1401,D1401,E1401))),ISERROR(FIND(Summary!$Q$89,A1401))),Summary!$R$45,IF(H1401&gt;Summary!$V$3,Summary!$R$46,Summary!$R$45))*(B1401+30),0)</f>
        <v>5</v>
      </c>
      <c r="H1401">
        <f>IF(H1400&gt;Summary!$V$4,0,H1400+F1400)</f>
        <v>138306</v>
      </c>
      <c r="I1401" s="26">
        <f>DATE(YEAR(Summary!$V$2),MONTH(Summary!$V$2),DAY(Summary!$V$2)+INT(H1401/480))</f>
        <v>43878</v>
      </c>
      <c r="J1401" s="27">
        <f t="shared" si="22"/>
        <v>0.37916666666666665</v>
      </c>
    </row>
    <row r="1402" spans="1:10">
      <c r="A1402" t="str">
        <f>VLOOKUP(Summary!M1401,Summary!$P$13:$Q$24,2)</f>
        <v>B1200-fire</v>
      </c>
      <c r="B1402">
        <f>ROUND(NORMINV(Summary!M1403,VLOOKUP(A1402,Summary!$Q$13:$S$24,3,FALSE),VLOOKUP(A1402,Summary!$Q$13:$S$24,3,FALSE)/6),-1)</f>
        <v>1320</v>
      </c>
      <c r="C1402" t="str">
        <f>IF(AND(H1402=0,C1401=Summary!$P$2),Summary!$Q$2,IF(AND(H1402=0,C1401=Summary!$Q$2),Summary!$R$2,C1401))</f>
        <v>Jared</v>
      </c>
      <c r="D1402" t="str">
        <f>IF(C1402=Summary!$P$26,VLOOKUP(Summary!M1409,Summary!$Q$26:$R$27,2),IF('Run Data'!C1402=Summary!$P$28,VLOOKUP(Summary!M1409,Summary!$Q$28:$R$29,2),VLOOKUP(Summary!M1409,Summary!$Q$30:$R$32,2)))</f>
        <v>Sprig 3</v>
      </c>
      <c r="E1402" t="str">
        <f>VLOOKUP(Summary!M1412,Summary!$P$42:$Q$43,2)</f>
        <v>86</v>
      </c>
      <c r="F1402">
        <f>IF(LEFT(A1402,3)="B60",20,IF(LEFT(A1402,3)="B12",30,25))+B1402*0.5+INT(Summary!M1415*20)</f>
        <v>690</v>
      </c>
      <c r="G1402">
        <f>ROUND(IF(OR(ISERROR(FIND(Summary!$P$89,CONCATENATE(C1402,D1402,E1402))),ISERROR(FIND(Summary!$Q$89,A1402))),Summary!$R$45,IF(H1402&gt;Summary!$V$3,Summary!$R$46,Summary!$R$45))*(B1402+30),0)</f>
        <v>14</v>
      </c>
      <c r="H1402">
        <f>IF(H1401&gt;Summary!$V$4,0,H1401+F1401)</f>
        <v>138562</v>
      </c>
      <c r="I1402" s="26">
        <f>DATE(YEAR(Summary!$V$2),MONTH(Summary!$V$2),DAY(Summary!$V$2)+INT(H1402/480))</f>
        <v>43878</v>
      </c>
      <c r="J1402" s="27">
        <f t="shared" si="22"/>
        <v>0.55694444444444446</v>
      </c>
    </row>
    <row r="1403" spans="1:10">
      <c r="A1403" t="str">
        <f>VLOOKUP(Summary!M1402,Summary!$P$13:$Q$24,2)</f>
        <v>B1200-fire</v>
      </c>
      <c r="B1403">
        <f>ROUND(NORMINV(Summary!M1404,VLOOKUP(A1403,Summary!$Q$13:$S$24,3,FALSE),VLOOKUP(A1403,Summary!$Q$13:$S$24,3,FALSE)/6),-1)</f>
        <v>1110</v>
      </c>
      <c r="C1403" t="str">
        <f>IF(AND(H1403=0,C1402=Summary!$P$2),Summary!$Q$2,IF(AND(H1403=0,C1402=Summary!$Q$2),Summary!$R$2,C1402))</f>
        <v>Jared</v>
      </c>
      <c r="D1403" t="str">
        <f>IF(C1403=Summary!$P$26,VLOOKUP(Summary!M1410,Summary!$Q$26:$R$27,2),IF('Run Data'!C1403=Summary!$P$28,VLOOKUP(Summary!M1410,Summary!$Q$28:$R$29,2),VLOOKUP(Summary!M1410,Summary!$Q$30:$R$32,2)))</f>
        <v>Sprig 2</v>
      </c>
      <c r="E1403" t="str">
        <f>VLOOKUP(Summary!M1413,Summary!$P$42:$Q$43,2)</f>
        <v>86</v>
      </c>
      <c r="F1403">
        <f>IF(LEFT(A1403,3)="B60",20,IF(LEFT(A1403,3)="B12",30,25))+B1403*0.5+INT(Summary!M1416*20)</f>
        <v>596</v>
      </c>
      <c r="G1403">
        <f>ROUND(IF(OR(ISERROR(FIND(Summary!$P$89,CONCATENATE(C1403,D1403,E1403))),ISERROR(FIND(Summary!$Q$89,A1403))),Summary!$R$45,IF(H1403&gt;Summary!$V$3,Summary!$R$46,Summary!$R$45))*(B1403+30),0)</f>
        <v>11</v>
      </c>
      <c r="H1403">
        <f>IF(H1402&gt;Summary!$V$4,0,H1402+F1402)</f>
        <v>139252</v>
      </c>
      <c r="I1403" s="26">
        <f>DATE(YEAR(Summary!$V$2),MONTH(Summary!$V$2),DAY(Summary!$V$2)+INT(H1403/480))</f>
        <v>43880</v>
      </c>
      <c r="J1403" s="27">
        <f t="shared" si="22"/>
        <v>0.36944444444444446</v>
      </c>
    </row>
    <row r="1404" spans="1:10">
      <c r="A1404" t="str">
        <f>VLOOKUP(Summary!M1403,Summary!$P$13:$Q$24,2)</f>
        <v>B1700-plum</v>
      </c>
      <c r="B1404">
        <f>ROUND(NORMINV(Summary!M1405,VLOOKUP(A1404,Summary!$Q$13:$S$24,3,FALSE),VLOOKUP(A1404,Summary!$Q$13:$S$24,3,FALSE)/6),-1)</f>
        <v>330</v>
      </c>
      <c r="C1404" t="str">
        <f>IF(AND(H1404=0,C1403=Summary!$P$2),Summary!$Q$2,IF(AND(H1404=0,C1403=Summary!$Q$2),Summary!$R$2,C1403))</f>
        <v>Jared</v>
      </c>
      <c r="D1404" t="str">
        <f>IF(C1404=Summary!$P$26,VLOOKUP(Summary!M1411,Summary!$Q$26:$R$27,2),IF('Run Data'!C1404=Summary!$P$28,VLOOKUP(Summary!M1411,Summary!$Q$28:$R$29,2),VLOOKUP(Summary!M1411,Summary!$Q$30:$R$32,2)))</f>
        <v>Sprig 2</v>
      </c>
      <c r="E1404" t="str">
        <f>VLOOKUP(Summary!M1414,Summary!$P$42:$Q$43,2)</f>
        <v>86</v>
      </c>
      <c r="F1404">
        <f>IF(LEFT(A1404,3)="B60",20,IF(LEFT(A1404,3)="B12",30,25))+B1404*0.5+INT(Summary!M1417*20)</f>
        <v>195</v>
      </c>
      <c r="G1404">
        <f>ROUND(IF(OR(ISERROR(FIND(Summary!$P$89,CONCATENATE(C1404,D1404,E1404))),ISERROR(FIND(Summary!$Q$89,A1404))),Summary!$R$45,IF(H1404&gt;Summary!$V$3,Summary!$R$46,Summary!$R$45))*(B1404+30),0)</f>
        <v>43</v>
      </c>
      <c r="H1404">
        <f>IF(H1403&gt;Summary!$V$4,0,H1403+F1403)</f>
        <v>139848</v>
      </c>
      <c r="I1404" s="26">
        <f>DATE(YEAR(Summary!$V$2),MONTH(Summary!$V$2),DAY(Summary!$V$2)+INT(H1404/480))</f>
        <v>43881</v>
      </c>
      <c r="J1404" s="27">
        <f t="shared" si="22"/>
        <v>0.45</v>
      </c>
    </row>
    <row r="1405" spans="1:10">
      <c r="A1405" t="str">
        <f>VLOOKUP(Summary!M1404,Summary!$P$13:$Q$24,2)</f>
        <v>B1200-sky</v>
      </c>
      <c r="B1405">
        <f>ROUND(NORMINV(Summary!M1406,VLOOKUP(A1405,Summary!$Q$13:$S$24,3,FALSE),VLOOKUP(A1405,Summary!$Q$13:$S$24,3,FALSE)/6),-1)</f>
        <v>1410</v>
      </c>
      <c r="C1405" t="str">
        <f>IF(AND(H1405=0,C1404=Summary!$P$2),Summary!$Q$2,IF(AND(H1405=0,C1404=Summary!$Q$2),Summary!$R$2,C1404))</f>
        <v>Jared</v>
      </c>
      <c r="D1405" t="str">
        <f>IF(C1405=Summary!$P$26,VLOOKUP(Summary!M1412,Summary!$Q$26:$R$27,2),IF('Run Data'!C1405=Summary!$P$28,VLOOKUP(Summary!M1412,Summary!$Q$28:$R$29,2),VLOOKUP(Summary!M1412,Summary!$Q$30:$R$32,2)))</f>
        <v>Sprig 2</v>
      </c>
      <c r="E1405" t="str">
        <f>VLOOKUP(Summary!M1415,Summary!$P$42:$Q$43,2)</f>
        <v>86</v>
      </c>
      <c r="F1405">
        <f>IF(LEFT(A1405,3)="B60",20,IF(LEFT(A1405,3)="B12",30,25))+B1405*0.5+INT(Summary!M1418*20)</f>
        <v>748</v>
      </c>
      <c r="G1405">
        <f>ROUND(IF(OR(ISERROR(FIND(Summary!$P$89,CONCATENATE(C1405,D1405,E1405))),ISERROR(FIND(Summary!$Q$89,A1405))),Summary!$R$45,IF(H1405&gt;Summary!$V$3,Summary!$R$46,Summary!$R$45))*(B1405+30),0)</f>
        <v>14</v>
      </c>
      <c r="H1405">
        <f>IF(H1404&gt;Summary!$V$4,0,H1404+F1404)</f>
        <v>140043</v>
      </c>
      <c r="I1405" s="26">
        <f>DATE(YEAR(Summary!$V$2),MONTH(Summary!$V$2),DAY(Summary!$V$2)+INT(H1405/480))</f>
        <v>43881</v>
      </c>
      <c r="J1405" s="27">
        <f t="shared" si="22"/>
        <v>0.5854166666666667</v>
      </c>
    </row>
    <row r="1406" spans="1:10">
      <c r="A1406" t="str">
        <f>VLOOKUP(Summary!M1405,Summary!$P$13:$Q$24,2)</f>
        <v>B1700-plum</v>
      </c>
      <c r="B1406">
        <f>ROUND(NORMINV(Summary!M1407,VLOOKUP(A1406,Summary!$Q$13:$S$24,3,FALSE),VLOOKUP(A1406,Summary!$Q$13:$S$24,3,FALSE)/6),-1)</f>
        <v>340</v>
      </c>
      <c r="C1406" t="str">
        <f>IF(AND(H1406=0,C1405=Summary!$P$2),Summary!$Q$2,IF(AND(H1406=0,C1405=Summary!$Q$2),Summary!$R$2,C1405))</f>
        <v>Jared</v>
      </c>
      <c r="D1406" t="str">
        <f>IF(C1406=Summary!$P$26,VLOOKUP(Summary!M1413,Summary!$Q$26:$R$27,2),IF('Run Data'!C1406=Summary!$P$28,VLOOKUP(Summary!M1413,Summary!$Q$28:$R$29,2),VLOOKUP(Summary!M1413,Summary!$Q$30:$R$32,2)))</f>
        <v>Sprig 2</v>
      </c>
      <c r="E1406" t="str">
        <f>VLOOKUP(Summary!M1416,Summary!$P$42:$Q$43,2)</f>
        <v>86</v>
      </c>
      <c r="F1406">
        <f>IF(LEFT(A1406,3)="B60",20,IF(LEFT(A1406,3)="B12",30,25))+B1406*0.5+INT(Summary!M1419*20)</f>
        <v>205</v>
      </c>
      <c r="G1406">
        <f>ROUND(IF(OR(ISERROR(FIND(Summary!$P$89,CONCATENATE(C1406,D1406,E1406))),ISERROR(FIND(Summary!$Q$89,A1406))),Summary!$R$45,IF(H1406&gt;Summary!$V$3,Summary!$R$46,Summary!$R$45))*(B1406+30),0)</f>
        <v>44</v>
      </c>
      <c r="H1406">
        <f>IF(H1405&gt;Summary!$V$4,0,H1405+F1405)</f>
        <v>140791</v>
      </c>
      <c r="I1406" s="26">
        <f>DATE(YEAR(Summary!$V$2),MONTH(Summary!$V$2),DAY(Summary!$V$2)+INT(H1406/480))</f>
        <v>43883</v>
      </c>
      <c r="J1406" s="27">
        <f t="shared" si="22"/>
        <v>0.4381944444444445</v>
      </c>
    </row>
    <row r="1407" spans="1:10">
      <c r="A1407" t="str">
        <f>VLOOKUP(Summary!M1406,Summary!$P$13:$Q$24,2)</f>
        <v>B1700-fire</v>
      </c>
      <c r="B1407">
        <f>ROUND(NORMINV(Summary!M1408,VLOOKUP(A1407,Summary!$Q$13:$S$24,3,FALSE),VLOOKUP(A1407,Summary!$Q$13:$S$24,3,FALSE)/6),-1)</f>
        <v>620</v>
      </c>
      <c r="C1407" t="str">
        <f>IF(AND(H1407=0,C1406=Summary!$P$2),Summary!$Q$2,IF(AND(H1407=0,C1406=Summary!$Q$2),Summary!$R$2,C1406))</f>
        <v>Jared</v>
      </c>
      <c r="D1407" t="str">
        <f>IF(C1407=Summary!$P$26,VLOOKUP(Summary!M1414,Summary!$Q$26:$R$27,2),IF('Run Data'!C1407=Summary!$P$28,VLOOKUP(Summary!M1414,Summary!$Q$28:$R$29,2),VLOOKUP(Summary!M1414,Summary!$Q$30:$R$32,2)))</f>
        <v>Sprig 1</v>
      </c>
      <c r="E1407" t="str">
        <f>VLOOKUP(Summary!M1417,Summary!$P$42:$Q$43,2)</f>
        <v>86</v>
      </c>
      <c r="F1407">
        <f>IF(LEFT(A1407,3)="B60",20,IF(LEFT(A1407,3)="B12",30,25))+B1407*0.5+INT(Summary!M1420*20)</f>
        <v>352</v>
      </c>
      <c r="G1407">
        <f>ROUND(IF(OR(ISERROR(FIND(Summary!$P$89,CONCATENATE(C1407,D1407,E1407))),ISERROR(FIND(Summary!$Q$89,A1407))),Summary!$R$45,IF(H1407&gt;Summary!$V$3,Summary!$R$46,Summary!$R$45))*(B1407+30),0)</f>
        <v>78</v>
      </c>
      <c r="H1407">
        <f>IF(H1406&gt;Summary!$V$4,0,H1406+F1406)</f>
        <v>140996</v>
      </c>
      <c r="I1407" s="26">
        <f>DATE(YEAR(Summary!$V$2),MONTH(Summary!$V$2),DAY(Summary!$V$2)+INT(H1407/480))</f>
        <v>43883</v>
      </c>
      <c r="J1407" s="27">
        <f t="shared" si="22"/>
        <v>0.5805555555555556</v>
      </c>
    </row>
    <row r="1408" spans="1:10">
      <c r="A1408" t="str">
        <f>VLOOKUP(Summary!M1407,Summary!$P$13:$Q$24,2)</f>
        <v>B1700-plum</v>
      </c>
      <c r="B1408">
        <f>ROUND(NORMINV(Summary!M1409,VLOOKUP(A1408,Summary!$Q$13:$S$24,3,FALSE),VLOOKUP(A1408,Summary!$Q$13:$S$24,3,FALSE)/6),-1)</f>
        <v>330</v>
      </c>
      <c r="C1408" t="str">
        <f>IF(AND(H1408=0,C1407=Summary!$P$2),Summary!$Q$2,IF(AND(H1408=0,C1407=Summary!$Q$2),Summary!$R$2,C1407))</f>
        <v>Jared</v>
      </c>
      <c r="D1408" t="str">
        <f>IF(C1408=Summary!$P$26,VLOOKUP(Summary!M1415,Summary!$Q$26:$R$27,2),IF('Run Data'!C1408=Summary!$P$28,VLOOKUP(Summary!M1415,Summary!$Q$28:$R$29,2),VLOOKUP(Summary!M1415,Summary!$Q$30:$R$32,2)))</f>
        <v>Sprig 1</v>
      </c>
      <c r="E1408" t="str">
        <f>VLOOKUP(Summary!M1418,Summary!$P$42:$Q$43,2)</f>
        <v>86</v>
      </c>
      <c r="F1408">
        <f>IF(LEFT(A1408,3)="B60",20,IF(LEFT(A1408,3)="B12",30,25))+B1408*0.5+INT(Summary!M1421*20)</f>
        <v>198</v>
      </c>
      <c r="G1408">
        <f>ROUND(IF(OR(ISERROR(FIND(Summary!$P$89,CONCATENATE(C1408,D1408,E1408))),ISERROR(FIND(Summary!$Q$89,A1408))),Summary!$R$45,IF(H1408&gt;Summary!$V$3,Summary!$R$46,Summary!$R$45))*(B1408+30),0)</f>
        <v>43</v>
      </c>
      <c r="H1408">
        <f>IF(H1407&gt;Summary!$V$4,0,H1407+F1407)</f>
        <v>141348</v>
      </c>
      <c r="I1408" s="26">
        <f>DATE(YEAR(Summary!$V$2),MONTH(Summary!$V$2),DAY(Summary!$V$2)+INT(H1408/480))</f>
        <v>43884</v>
      </c>
      <c r="J1408" s="27">
        <f t="shared" si="22"/>
        <v>0.4916666666666667</v>
      </c>
    </row>
    <row r="1409" spans="1:10">
      <c r="A1409" t="str">
        <f>VLOOKUP(Summary!M1408,Summary!$P$13:$Q$24,2)</f>
        <v>B600-fire</v>
      </c>
      <c r="B1409">
        <f>ROUND(NORMINV(Summary!M1410,VLOOKUP(A1409,Summary!$Q$13:$S$24,3,FALSE),VLOOKUP(A1409,Summary!$Q$13:$S$24,3,FALSE)/6),-1)</f>
        <v>370</v>
      </c>
      <c r="C1409" t="str">
        <f>IF(AND(H1409=0,C1408=Summary!$P$2),Summary!$Q$2,IF(AND(H1409=0,C1408=Summary!$Q$2),Summary!$R$2,C1408))</f>
        <v>Jared</v>
      </c>
      <c r="D1409" t="str">
        <f>IF(C1409=Summary!$P$26,VLOOKUP(Summary!M1416,Summary!$Q$26:$R$27,2),IF('Run Data'!C1409=Summary!$P$28,VLOOKUP(Summary!M1416,Summary!$Q$28:$R$29,2),VLOOKUP(Summary!M1416,Summary!$Q$30:$R$32,2)))</f>
        <v>Sprig 2</v>
      </c>
      <c r="E1409" t="str">
        <f>VLOOKUP(Summary!M1419,Summary!$P$42:$Q$43,2)</f>
        <v>86</v>
      </c>
      <c r="F1409">
        <f>IF(LEFT(A1409,3)="B60",20,IF(LEFT(A1409,3)="B12",30,25))+B1409*0.5+INT(Summary!M1422*20)</f>
        <v>218</v>
      </c>
      <c r="G1409">
        <f>ROUND(IF(OR(ISERROR(FIND(Summary!$P$89,CONCATENATE(C1409,D1409,E1409))),ISERROR(FIND(Summary!$Q$89,A1409))),Summary!$R$45,IF(H1409&gt;Summary!$V$3,Summary!$R$46,Summary!$R$45))*(B1409+30),0)</f>
        <v>4</v>
      </c>
      <c r="H1409">
        <f>IF(H1408&gt;Summary!$V$4,0,H1408+F1408)</f>
        <v>141546</v>
      </c>
      <c r="I1409" s="26">
        <f>DATE(YEAR(Summary!$V$2),MONTH(Summary!$V$2),DAY(Summary!$V$2)+INT(H1409/480))</f>
        <v>43884</v>
      </c>
      <c r="J1409" s="27">
        <f t="shared" si="22"/>
        <v>0.62916666666666665</v>
      </c>
    </row>
    <row r="1410" spans="1:10">
      <c r="A1410" t="str">
        <f>VLOOKUP(Summary!M1409,Summary!$P$13:$Q$24,2)</f>
        <v>B1700-plum</v>
      </c>
      <c r="B1410">
        <f>ROUND(NORMINV(Summary!M1411,VLOOKUP(A1410,Summary!$Q$13:$S$24,3,FALSE),VLOOKUP(A1410,Summary!$Q$13:$S$24,3,FALSE)/6),-1)</f>
        <v>300</v>
      </c>
      <c r="C1410" t="str">
        <f>IF(AND(H1410=0,C1409=Summary!$P$2),Summary!$Q$2,IF(AND(H1410=0,C1409=Summary!$Q$2),Summary!$R$2,C1409))</f>
        <v>Jared</v>
      </c>
      <c r="D1410" t="str">
        <f>IF(C1410=Summary!$P$26,VLOOKUP(Summary!M1417,Summary!$Q$26:$R$27,2),IF('Run Data'!C1410=Summary!$P$28,VLOOKUP(Summary!M1417,Summary!$Q$28:$R$29,2),VLOOKUP(Summary!M1417,Summary!$Q$30:$R$32,2)))</f>
        <v>Sprig 2</v>
      </c>
      <c r="E1410" t="str">
        <f>VLOOKUP(Summary!M1420,Summary!$P$42:$Q$43,2)</f>
        <v>87b</v>
      </c>
      <c r="F1410">
        <f>IF(LEFT(A1410,3)="B60",20,IF(LEFT(A1410,3)="B12",30,25))+B1410*0.5+INT(Summary!M1423*20)</f>
        <v>177</v>
      </c>
      <c r="G1410">
        <f>ROUND(IF(OR(ISERROR(FIND(Summary!$P$89,CONCATENATE(C1410,D1410,E1410))),ISERROR(FIND(Summary!$Q$89,A1410))),Summary!$R$45,IF(H1410&gt;Summary!$V$3,Summary!$R$46,Summary!$R$45))*(B1410+30),0)</f>
        <v>3</v>
      </c>
      <c r="H1410">
        <f>IF(H1409&gt;Summary!$V$4,0,H1409+F1409)</f>
        <v>141764</v>
      </c>
      <c r="I1410" s="26">
        <f>DATE(YEAR(Summary!$V$2),MONTH(Summary!$V$2),DAY(Summary!$V$2)+INT(H1410/480))</f>
        <v>43885</v>
      </c>
      <c r="J1410" s="27">
        <f t="shared" si="22"/>
        <v>0.44722222222222219</v>
      </c>
    </row>
    <row r="1411" spans="1:10">
      <c r="A1411" t="str">
        <f>VLOOKUP(Summary!M1410,Summary!$P$13:$Q$24,2)</f>
        <v>B1200-plum</v>
      </c>
      <c r="B1411">
        <f>ROUND(NORMINV(Summary!M1412,VLOOKUP(A1411,Summary!$Q$13:$S$24,3,FALSE),VLOOKUP(A1411,Summary!$Q$13:$S$24,3,FALSE)/6),-1)</f>
        <v>420</v>
      </c>
      <c r="C1411" t="str">
        <f>IF(AND(H1411=0,C1410=Summary!$P$2),Summary!$Q$2,IF(AND(H1411=0,C1410=Summary!$Q$2),Summary!$R$2,C1410))</f>
        <v>Jared</v>
      </c>
      <c r="D1411" t="str">
        <f>IF(C1411=Summary!$P$26,VLOOKUP(Summary!M1418,Summary!$Q$26:$R$27,2),IF('Run Data'!C1411=Summary!$P$28,VLOOKUP(Summary!M1418,Summary!$Q$28:$R$29,2),VLOOKUP(Summary!M1418,Summary!$Q$30:$R$32,2)))</f>
        <v>Sprig 3</v>
      </c>
      <c r="E1411" t="str">
        <f>VLOOKUP(Summary!M1421,Summary!$P$42:$Q$43,2)</f>
        <v>86</v>
      </c>
      <c r="F1411">
        <f>IF(LEFT(A1411,3)="B60",20,IF(LEFT(A1411,3)="B12",30,25))+B1411*0.5+INT(Summary!M1424*20)</f>
        <v>254</v>
      </c>
      <c r="G1411">
        <f>ROUND(IF(OR(ISERROR(FIND(Summary!$P$89,CONCATENATE(C1411,D1411,E1411))),ISERROR(FIND(Summary!$Q$89,A1411))),Summary!$R$45,IF(H1411&gt;Summary!$V$3,Summary!$R$46,Summary!$R$45))*(B1411+30),0)</f>
        <v>5</v>
      </c>
      <c r="H1411">
        <f>IF(H1410&gt;Summary!$V$4,0,H1410+F1410)</f>
        <v>141941</v>
      </c>
      <c r="I1411" s="26">
        <f>DATE(YEAR(Summary!$V$2),MONTH(Summary!$V$2),DAY(Summary!$V$2)+INT(H1411/480))</f>
        <v>43885</v>
      </c>
      <c r="J1411" s="27">
        <f t="shared" si="22"/>
        <v>0.57013888888888886</v>
      </c>
    </row>
    <row r="1412" spans="1:10">
      <c r="A1412" t="str">
        <f>VLOOKUP(Summary!M1411,Summary!$P$13:$Q$24,2)</f>
        <v>B1200-fire</v>
      </c>
      <c r="B1412">
        <f>ROUND(NORMINV(Summary!M1413,VLOOKUP(A1412,Summary!$Q$13:$S$24,3,FALSE),VLOOKUP(A1412,Summary!$Q$13:$S$24,3,FALSE)/6),-1)</f>
        <v>1250</v>
      </c>
      <c r="C1412" t="str">
        <f>IF(AND(H1412=0,C1411=Summary!$P$2),Summary!$Q$2,IF(AND(H1412=0,C1411=Summary!$Q$2),Summary!$R$2,C1411))</f>
        <v>Jared</v>
      </c>
      <c r="D1412" t="str">
        <f>IF(C1412=Summary!$P$26,VLOOKUP(Summary!M1419,Summary!$Q$26:$R$27,2),IF('Run Data'!C1412=Summary!$P$28,VLOOKUP(Summary!M1419,Summary!$Q$28:$R$29,2),VLOOKUP(Summary!M1419,Summary!$Q$30:$R$32,2)))</f>
        <v>Sprig 2</v>
      </c>
      <c r="E1412" t="str">
        <f>VLOOKUP(Summary!M1422,Summary!$P$42:$Q$43,2)</f>
        <v>86</v>
      </c>
      <c r="F1412">
        <f>IF(LEFT(A1412,3)="B60",20,IF(LEFT(A1412,3)="B12",30,25))+B1412*0.5+INT(Summary!M1425*20)</f>
        <v>668</v>
      </c>
      <c r="G1412">
        <f>ROUND(IF(OR(ISERROR(FIND(Summary!$P$89,CONCATENATE(C1412,D1412,E1412))),ISERROR(FIND(Summary!$Q$89,A1412))),Summary!$R$45,IF(H1412&gt;Summary!$V$3,Summary!$R$46,Summary!$R$45))*(B1412+30),0)</f>
        <v>13</v>
      </c>
      <c r="H1412">
        <f>IF(H1411&gt;Summary!$V$4,0,H1411+F1411)</f>
        <v>142195</v>
      </c>
      <c r="I1412" s="26">
        <f>DATE(YEAR(Summary!$V$2),MONTH(Summary!$V$2),DAY(Summary!$V$2)+INT(H1412/480))</f>
        <v>43886</v>
      </c>
      <c r="J1412" s="27">
        <f t="shared" si="22"/>
        <v>0.41319444444444442</v>
      </c>
    </row>
    <row r="1413" spans="1:10">
      <c r="A1413" t="str">
        <f>VLOOKUP(Summary!M1412,Summary!$P$13:$Q$24,2)</f>
        <v>B1200-sky</v>
      </c>
      <c r="B1413">
        <f>ROUND(NORMINV(Summary!M1414,VLOOKUP(A1413,Summary!$Q$13:$S$24,3,FALSE),VLOOKUP(A1413,Summary!$Q$13:$S$24,3,FALSE)/6),-1)</f>
        <v>920</v>
      </c>
      <c r="C1413" t="str">
        <f>IF(AND(H1413=0,C1412=Summary!$P$2),Summary!$Q$2,IF(AND(H1413=0,C1412=Summary!$Q$2),Summary!$R$2,C1412))</f>
        <v>Jared</v>
      </c>
      <c r="D1413" t="str">
        <f>IF(C1413=Summary!$P$26,VLOOKUP(Summary!M1420,Summary!$Q$26:$R$27,2),IF('Run Data'!C1413=Summary!$P$28,VLOOKUP(Summary!M1420,Summary!$Q$28:$R$29,2),VLOOKUP(Summary!M1420,Summary!$Q$30:$R$32,2)))</f>
        <v>Sprig 3</v>
      </c>
      <c r="E1413" t="str">
        <f>VLOOKUP(Summary!M1423,Summary!$P$42:$Q$43,2)</f>
        <v>86</v>
      </c>
      <c r="F1413">
        <f>IF(LEFT(A1413,3)="B60",20,IF(LEFT(A1413,3)="B12",30,25))+B1413*0.5+INT(Summary!M1426*20)</f>
        <v>493</v>
      </c>
      <c r="G1413">
        <f>ROUND(IF(OR(ISERROR(FIND(Summary!$P$89,CONCATENATE(C1413,D1413,E1413))),ISERROR(FIND(Summary!$Q$89,A1413))),Summary!$R$45,IF(H1413&gt;Summary!$V$3,Summary!$R$46,Summary!$R$45))*(B1413+30),0)</f>
        <v>10</v>
      </c>
      <c r="H1413">
        <f>IF(H1412&gt;Summary!$V$4,0,H1412+F1412)</f>
        <v>142863</v>
      </c>
      <c r="I1413" s="26">
        <f>DATE(YEAR(Summary!$V$2),MONTH(Summary!$V$2),DAY(Summary!$V$2)+INT(H1413/480))</f>
        <v>43887</v>
      </c>
      <c r="J1413" s="27">
        <f t="shared" si="22"/>
        <v>0.54375000000000007</v>
      </c>
    </row>
    <row r="1414" spans="1:10">
      <c r="A1414" t="str">
        <f>VLOOKUP(Summary!M1413,Summary!$P$13:$Q$24,2)</f>
        <v>B1200-lime</v>
      </c>
      <c r="B1414">
        <f>ROUND(NORMINV(Summary!M1415,VLOOKUP(A1414,Summary!$Q$13:$S$24,3,FALSE),VLOOKUP(A1414,Summary!$Q$13:$S$24,3,FALSE)/6),-1)</f>
        <v>560</v>
      </c>
      <c r="C1414" t="str">
        <f>IF(AND(H1414=0,C1413=Summary!$P$2),Summary!$Q$2,IF(AND(H1414=0,C1413=Summary!$Q$2),Summary!$R$2,C1413))</f>
        <v>Jared</v>
      </c>
      <c r="D1414" t="str">
        <f>IF(C1414=Summary!$P$26,VLOOKUP(Summary!M1421,Summary!$Q$26:$R$27,2),IF('Run Data'!C1414=Summary!$P$28,VLOOKUP(Summary!M1421,Summary!$Q$28:$R$29,2),VLOOKUP(Summary!M1421,Summary!$Q$30:$R$32,2)))</f>
        <v>Sprig 2</v>
      </c>
      <c r="E1414" t="str">
        <f>VLOOKUP(Summary!M1424,Summary!$P$42:$Q$43,2)</f>
        <v>86</v>
      </c>
      <c r="F1414">
        <f>IF(LEFT(A1414,3)="B60",20,IF(LEFT(A1414,3)="B12",30,25))+B1414*0.5+INT(Summary!M1427*20)</f>
        <v>318</v>
      </c>
      <c r="G1414">
        <f>ROUND(IF(OR(ISERROR(FIND(Summary!$P$89,CONCATENATE(C1414,D1414,E1414))),ISERROR(FIND(Summary!$Q$89,A1414))),Summary!$R$45,IF(H1414&gt;Summary!$V$3,Summary!$R$46,Summary!$R$45))*(B1414+30),0)</f>
        <v>6</v>
      </c>
      <c r="H1414">
        <f>IF(H1413&gt;Summary!$V$4,0,H1413+F1413)</f>
        <v>143356</v>
      </c>
      <c r="I1414" s="26">
        <f>DATE(YEAR(Summary!$V$2),MONTH(Summary!$V$2),DAY(Summary!$V$2)+INT(H1414/480))</f>
        <v>43888</v>
      </c>
      <c r="J1414" s="27">
        <f t="shared" si="22"/>
        <v>0.55277777777777781</v>
      </c>
    </row>
    <row r="1415" spans="1:10">
      <c r="A1415" t="str">
        <f>VLOOKUP(Summary!M1414,Summary!$P$13:$Q$24,2)</f>
        <v>B600-sky</v>
      </c>
      <c r="B1415">
        <f>ROUND(NORMINV(Summary!M1416,VLOOKUP(A1415,Summary!$Q$13:$S$24,3,FALSE),VLOOKUP(A1415,Summary!$Q$13:$S$24,3,FALSE)/6),-1)</f>
        <v>510</v>
      </c>
      <c r="C1415" t="str">
        <f>IF(AND(H1415=0,C1414=Summary!$P$2),Summary!$Q$2,IF(AND(H1415=0,C1414=Summary!$Q$2),Summary!$R$2,C1414))</f>
        <v>Jared</v>
      </c>
      <c r="D1415" t="str">
        <f>IF(C1415=Summary!$P$26,VLOOKUP(Summary!M1422,Summary!$Q$26:$R$27,2),IF('Run Data'!C1415=Summary!$P$28,VLOOKUP(Summary!M1422,Summary!$Q$28:$R$29,2),VLOOKUP(Summary!M1422,Summary!$Q$30:$R$32,2)))</f>
        <v>Sprig 3</v>
      </c>
      <c r="E1415" t="str">
        <f>VLOOKUP(Summary!M1425,Summary!$P$42:$Q$43,2)</f>
        <v>86</v>
      </c>
      <c r="F1415">
        <f>IF(LEFT(A1415,3)="B60",20,IF(LEFT(A1415,3)="B12",30,25))+B1415*0.5+INT(Summary!M1428*20)</f>
        <v>291</v>
      </c>
      <c r="G1415">
        <f>ROUND(IF(OR(ISERROR(FIND(Summary!$P$89,CONCATENATE(C1415,D1415,E1415))),ISERROR(FIND(Summary!$Q$89,A1415))),Summary!$R$45,IF(H1415&gt;Summary!$V$3,Summary!$R$46,Summary!$R$45))*(B1415+30),0)</f>
        <v>5</v>
      </c>
      <c r="H1415">
        <f>IF(H1414&gt;Summary!$V$4,0,H1414+F1414)</f>
        <v>143674</v>
      </c>
      <c r="I1415" s="26">
        <f>DATE(YEAR(Summary!$V$2),MONTH(Summary!$V$2),DAY(Summary!$V$2)+INT(H1415/480))</f>
        <v>43889</v>
      </c>
      <c r="J1415" s="27">
        <f t="shared" si="22"/>
        <v>0.44027777777777777</v>
      </c>
    </row>
    <row r="1416" spans="1:10">
      <c r="A1416" t="str">
        <f>VLOOKUP(Summary!M1415,Summary!$P$13:$Q$24,2)</f>
        <v>B600-plum</v>
      </c>
      <c r="B1416">
        <f>ROUND(NORMINV(Summary!M1417,VLOOKUP(A1416,Summary!$Q$13:$S$24,3,FALSE),VLOOKUP(A1416,Summary!$Q$13:$S$24,3,FALSE)/6),-1)</f>
        <v>180</v>
      </c>
      <c r="C1416" t="str">
        <f>IF(AND(H1416=0,C1415=Summary!$P$2),Summary!$Q$2,IF(AND(H1416=0,C1415=Summary!$Q$2),Summary!$R$2,C1415))</f>
        <v>Jared</v>
      </c>
      <c r="D1416" t="str">
        <f>IF(C1416=Summary!$P$26,VLOOKUP(Summary!M1423,Summary!$Q$26:$R$27,2),IF('Run Data'!C1416=Summary!$P$28,VLOOKUP(Summary!M1423,Summary!$Q$28:$R$29,2),VLOOKUP(Summary!M1423,Summary!$Q$30:$R$32,2)))</f>
        <v>Sprig 1</v>
      </c>
      <c r="E1416" t="str">
        <f>VLOOKUP(Summary!M1426,Summary!$P$42:$Q$43,2)</f>
        <v>86</v>
      </c>
      <c r="F1416">
        <f>IF(LEFT(A1416,3)="B60",20,IF(LEFT(A1416,3)="B12",30,25))+B1416*0.5+INT(Summary!M1429*20)</f>
        <v>112</v>
      </c>
      <c r="G1416">
        <f>ROUND(IF(OR(ISERROR(FIND(Summary!$P$89,CONCATENATE(C1416,D1416,E1416))),ISERROR(FIND(Summary!$Q$89,A1416))),Summary!$R$45,IF(H1416&gt;Summary!$V$3,Summary!$R$46,Summary!$R$45))*(B1416+30),0)</f>
        <v>2</v>
      </c>
      <c r="H1416">
        <f>IF(H1415&gt;Summary!$V$4,0,H1415+F1415)</f>
        <v>143965</v>
      </c>
      <c r="I1416" s="26">
        <f>DATE(YEAR(Summary!$V$2),MONTH(Summary!$V$2),DAY(Summary!$V$2)+INT(H1416/480))</f>
        <v>43889</v>
      </c>
      <c r="J1416" s="27">
        <f t="shared" si="22"/>
        <v>0.64236111111111105</v>
      </c>
    </row>
    <row r="1417" spans="1:10">
      <c r="A1417" t="str">
        <f>VLOOKUP(Summary!M1416,Summary!$P$13:$Q$24,2)</f>
        <v>B1200-lime</v>
      </c>
      <c r="B1417">
        <f>ROUND(NORMINV(Summary!M1418,VLOOKUP(A1417,Summary!$Q$13:$S$24,3,FALSE),VLOOKUP(A1417,Summary!$Q$13:$S$24,3,FALSE)/6),-1)</f>
        <v>850</v>
      </c>
      <c r="C1417" t="str">
        <f>IF(AND(H1417=0,C1416=Summary!$P$2),Summary!$Q$2,IF(AND(H1417=0,C1416=Summary!$Q$2),Summary!$R$2,C1416))</f>
        <v>Jared</v>
      </c>
      <c r="D1417" t="str">
        <f>IF(C1417=Summary!$P$26,VLOOKUP(Summary!M1424,Summary!$Q$26:$R$27,2),IF('Run Data'!C1417=Summary!$P$28,VLOOKUP(Summary!M1424,Summary!$Q$28:$R$29,2),VLOOKUP(Summary!M1424,Summary!$Q$30:$R$32,2)))</f>
        <v>Sprig 3</v>
      </c>
      <c r="E1417" t="str">
        <f>VLOOKUP(Summary!M1427,Summary!$P$42:$Q$43,2)</f>
        <v>86</v>
      </c>
      <c r="F1417">
        <f>IF(LEFT(A1417,3)="B60",20,IF(LEFT(A1417,3)="B12",30,25))+B1417*0.5+INT(Summary!M1430*20)</f>
        <v>461</v>
      </c>
      <c r="G1417">
        <f>ROUND(IF(OR(ISERROR(FIND(Summary!$P$89,CONCATENATE(C1417,D1417,E1417))),ISERROR(FIND(Summary!$Q$89,A1417))),Summary!$R$45,IF(H1417&gt;Summary!$V$3,Summary!$R$46,Summary!$R$45))*(B1417+30),0)</f>
        <v>9</v>
      </c>
      <c r="H1417">
        <f>IF(H1416&gt;Summary!$V$4,0,H1416+F1416)</f>
        <v>144077</v>
      </c>
      <c r="I1417" s="26">
        <f>DATE(YEAR(Summary!$V$2),MONTH(Summary!$V$2),DAY(Summary!$V$2)+INT(H1417/480))</f>
        <v>43890</v>
      </c>
      <c r="J1417" s="27">
        <f t="shared" si="22"/>
        <v>0.38680555555555557</v>
      </c>
    </row>
    <row r="1418" spans="1:10">
      <c r="A1418" t="str">
        <f>VLOOKUP(Summary!M1417,Summary!$P$13:$Q$24,2)</f>
        <v>B1200-plum</v>
      </c>
      <c r="B1418">
        <f>ROUND(NORMINV(Summary!M1419,VLOOKUP(A1418,Summary!$Q$13:$S$24,3,FALSE),VLOOKUP(A1418,Summary!$Q$13:$S$24,3,FALSE)/6),-1)</f>
        <v>460</v>
      </c>
      <c r="C1418" t="str">
        <f>IF(AND(H1418=0,C1417=Summary!$P$2),Summary!$Q$2,IF(AND(H1418=0,C1417=Summary!$Q$2),Summary!$R$2,C1417))</f>
        <v>Jared</v>
      </c>
      <c r="D1418" t="str">
        <f>IF(C1418=Summary!$P$26,VLOOKUP(Summary!M1425,Summary!$Q$26:$R$27,2),IF('Run Data'!C1418=Summary!$P$28,VLOOKUP(Summary!M1425,Summary!$Q$28:$R$29,2),VLOOKUP(Summary!M1425,Summary!$Q$30:$R$32,2)))</f>
        <v>Sprig 3</v>
      </c>
      <c r="E1418" t="str">
        <f>VLOOKUP(Summary!M1428,Summary!$P$42:$Q$43,2)</f>
        <v>86</v>
      </c>
      <c r="F1418">
        <f>IF(LEFT(A1418,3)="B60",20,IF(LEFT(A1418,3)="B12",30,25))+B1418*0.5+INT(Summary!M1431*20)</f>
        <v>264</v>
      </c>
      <c r="G1418">
        <f>ROUND(IF(OR(ISERROR(FIND(Summary!$P$89,CONCATENATE(C1418,D1418,E1418))),ISERROR(FIND(Summary!$Q$89,A1418))),Summary!$R$45,IF(H1418&gt;Summary!$V$3,Summary!$R$46,Summary!$R$45))*(B1418+30),0)</f>
        <v>5</v>
      </c>
      <c r="H1418">
        <f>IF(H1417&gt;Summary!$V$4,0,H1417+F1417)</f>
        <v>144538</v>
      </c>
      <c r="I1418" s="26">
        <f>DATE(YEAR(Summary!$V$2),MONTH(Summary!$V$2),DAY(Summary!$V$2)+INT(H1418/480))</f>
        <v>43891</v>
      </c>
      <c r="J1418" s="27">
        <f t="shared" si="22"/>
        <v>0.37361111111111112</v>
      </c>
    </row>
    <row r="1419" spans="1:10">
      <c r="A1419" t="str">
        <f>VLOOKUP(Summary!M1418,Summary!$P$13:$Q$24,2)</f>
        <v>B1200-lime</v>
      </c>
      <c r="B1419">
        <f>ROUND(NORMINV(Summary!M1420,VLOOKUP(A1419,Summary!$Q$13:$S$24,3,FALSE),VLOOKUP(A1419,Summary!$Q$13:$S$24,3,FALSE)/6),-1)</f>
        <v>970</v>
      </c>
      <c r="C1419" t="str">
        <f>IF(AND(H1419=0,C1418=Summary!$P$2),Summary!$Q$2,IF(AND(H1419=0,C1418=Summary!$Q$2),Summary!$R$2,C1418))</f>
        <v>Jared</v>
      </c>
      <c r="D1419" t="str">
        <f>IF(C1419=Summary!$P$26,VLOOKUP(Summary!M1426,Summary!$Q$26:$R$27,2),IF('Run Data'!C1419=Summary!$P$28,VLOOKUP(Summary!M1426,Summary!$Q$28:$R$29,2),VLOOKUP(Summary!M1426,Summary!$Q$30:$R$32,2)))</f>
        <v>Sprig 1</v>
      </c>
      <c r="E1419" t="str">
        <f>VLOOKUP(Summary!M1429,Summary!$P$42:$Q$43,2)</f>
        <v>86</v>
      </c>
      <c r="F1419">
        <f>IF(LEFT(A1419,3)="B60",20,IF(LEFT(A1419,3)="B12",30,25))+B1419*0.5+INT(Summary!M1432*20)</f>
        <v>530</v>
      </c>
      <c r="G1419">
        <f>ROUND(IF(OR(ISERROR(FIND(Summary!$P$89,CONCATENATE(C1419,D1419,E1419))),ISERROR(FIND(Summary!$Q$89,A1419))),Summary!$R$45,IF(H1419&gt;Summary!$V$3,Summary!$R$46,Summary!$R$45))*(B1419+30),0)</f>
        <v>10</v>
      </c>
      <c r="H1419">
        <f>IF(H1418&gt;Summary!$V$4,0,H1418+F1418)</f>
        <v>144802</v>
      </c>
      <c r="I1419" s="26">
        <f>DATE(YEAR(Summary!$V$2),MONTH(Summary!$V$2),DAY(Summary!$V$2)+INT(H1419/480))</f>
        <v>43891</v>
      </c>
      <c r="J1419" s="27">
        <f t="shared" si="22"/>
        <v>0.55694444444444446</v>
      </c>
    </row>
    <row r="1420" spans="1:10">
      <c r="A1420" t="str">
        <f>VLOOKUP(Summary!M1419,Summary!$P$13:$Q$24,2)</f>
        <v>B1200-fire</v>
      </c>
      <c r="B1420">
        <f>ROUND(NORMINV(Summary!M1421,VLOOKUP(A1420,Summary!$Q$13:$S$24,3,FALSE),VLOOKUP(A1420,Summary!$Q$13:$S$24,3,FALSE)/6),-1)</f>
        <v>1150</v>
      </c>
      <c r="C1420" t="str">
        <f>IF(AND(H1420=0,C1419=Summary!$P$2),Summary!$Q$2,IF(AND(H1420=0,C1419=Summary!$Q$2),Summary!$R$2,C1419))</f>
        <v>Jared</v>
      </c>
      <c r="D1420" t="str">
        <f>IF(C1420=Summary!$P$26,VLOOKUP(Summary!M1427,Summary!$Q$26:$R$27,2),IF('Run Data'!C1420=Summary!$P$28,VLOOKUP(Summary!M1427,Summary!$Q$28:$R$29,2),VLOOKUP(Summary!M1427,Summary!$Q$30:$R$32,2)))</f>
        <v>Sprig 2</v>
      </c>
      <c r="E1420" t="str">
        <f>VLOOKUP(Summary!M1430,Summary!$P$42:$Q$43,2)</f>
        <v>86</v>
      </c>
      <c r="F1420">
        <f>IF(LEFT(A1420,3)="B60",20,IF(LEFT(A1420,3)="B12",30,25))+B1420*0.5+INT(Summary!M1433*20)</f>
        <v>616</v>
      </c>
      <c r="G1420">
        <f>ROUND(IF(OR(ISERROR(FIND(Summary!$P$89,CONCATENATE(C1420,D1420,E1420))),ISERROR(FIND(Summary!$Q$89,A1420))),Summary!$R$45,IF(H1420&gt;Summary!$V$3,Summary!$R$46,Summary!$R$45))*(B1420+30),0)</f>
        <v>12</v>
      </c>
      <c r="H1420">
        <f>IF(H1419&gt;Summary!$V$4,0,H1419+F1419)</f>
        <v>145332</v>
      </c>
      <c r="I1420" s="26">
        <f>DATE(YEAR(Summary!$V$2),MONTH(Summary!$V$2),DAY(Summary!$V$2)+INT(H1420/480))</f>
        <v>43892</v>
      </c>
      <c r="J1420" s="27">
        <f t="shared" si="22"/>
        <v>0.59166666666666667</v>
      </c>
    </row>
    <row r="1421" spans="1:10">
      <c r="A1421" t="str">
        <f>VLOOKUP(Summary!M1420,Summary!$P$13:$Q$24,2)</f>
        <v>B1700-fire</v>
      </c>
      <c r="B1421">
        <f>ROUND(NORMINV(Summary!M1422,VLOOKUP(A1421,Summary!$Q$13:$S$24,3,FALSE),VLOOKUP(A1421,Summary!$Q$13:$S$24,3,FALSE)/6),-1)</f>
        <v>810</v>
      </c>
      <c r="C1421" t="str">
        <f>IF(AND(H1421=0,C1420=Summary!$P$2),Summary!$Q$2,IF(AND(H1421=0,C1420=Summary!$Q$2),Summary!$R$2,C1420))</f>
        <v>Jared</v>
      </c>
      <c r="D1421" t="str">
        <f>IF(C1421=Summary!$P$26,VLOOKUP(Summary!M1428,Summary!$Q$26:$R$27,2),IF('Run Data'!C1421=Summary!$P$28,VLOOKUP(Summary!M1428,Summary!$Q$28:$R$29,2),VLOOKUP(Summary!M1428,Summary!$Q$30:$R$32,2)))</f>
        <v>Sprig 3</v>
      </c>
      <c r="E1421" t="str">
        <f>VLOOKUP(Summary!M1431,Summary!$P$42:$Q$43,2)</f>
        <v>86</v>
      </c>
      <c r="F1421">
        <f>IF(LEFT(A1421,3)="B60",20,IF(LEFT(A1421,3)="B12",30,25))+B1421*0.5+INT(Summary!M1434*20)</f>
        <v>432</v>
      </c>
      <c r="G1421">
        <f>ROUND(IF(OR(ISERROR(FIND(Summary!$P$89,CONCATENATE(C1421,D1421,E1421))),ISERROR(FIND(Summary!$Q$89,A1421))),Summary!$R$45,IF(H1421&gt;Summary!$V$3,Summary!$R$46,Summary!$R$45))*(B1421+30),0)</f>
        <v>101</v>
      </c>
      <c r="H1421">
        <f>IF(H1420&gt;Summary!$V$4,0,H1420+F1420)</f>
        <v>145948</v>
      </c>
      <c r="I1421" s="26">
        <f>DATE(YEAR(Summary!$V$2),MONTH(Summary!$V$2),DAY(Summary!$V$2)+INT(H1421/480))</f>
        <v>43894</v>
      </c>
      <c r="J1421" s="27">
        <f t="shared" si="22"/>
        <v>0.3527777777777778</v>
      </c>
    </row>
    <row r="1422" spans="1:10">
      <c r="A1422" t="str">
        <f>VLOOKUP(Summary!M1421,Summary!$P$13:$Q$24,2)</f>
        <v>B1200-sky</v>
      </c>
      <c r="B1422">
        <f>ROUND(NORMINV(Summary!M1423,VLOOKUP(A1422,Summary!$Q$13:$S$24,3,FALSE),VLOOKUP(A1422,Summary!$Q$13:$S$24,3,FALSE)/6),-1)</f>
        <v>980</v>
      </c>
      <c r="C1422" t="str">
        <f>IF(AND(H1422=0,C1421=Summary!$P$2),Summary!$Q$2,IF(AND(H1422=0,C1421=Summary!$Q$2),Summary!$R$2,C1421))</f>
        <v>Jared</v>
      </c>
      <c r="D1422" t="str">
        <f>IF(C1422=Summary!$P$26,VLOOKUP(Summary!M1429,Summary!$Q$26:$R$27,2),IF('Run Data'!C1422=Summary!$P$28,VLOOKUP(Summary!M1429,Summary!$Q$28:$R$29,2),VLOOKUP(Summary!M1429,Summary!$Q$30:$R$32,2)))</f>
        <v>Sprig 1</v>
      </c>
      <c r="E1422" t="str">
        <f>VLOOKUP(Summary!M1432,Summary!$P$42:$Q$43,2)</f>
        <v>86</v>
      </c>
      <c r="F1422">
        <f>IF(LEFT(A1422,3)="B60",20,IF(LEFT(A1422,3)="B12",30,25))+B1422*0.5+INT(Summary!M1435*20)</f>
        <v>524</v>
      </c>
      <c r="G1422">
        <f>ROUND(IF(OR(ISERROR(FIND(Summary!$P$89,CONCATENATE(C1422,D1422,E1422))),ISERROR(FIND(Summary!$Q$89,A1422))),Summary!$R$45,IF(H1422&gt;Summary!$V$3,Summary!$R$46,Summary!$R$45))*(B1422+30),0)</f>
        <v>10</v>
      </c>
      <c r="H1422">
        <f>IF(H1421&gt;Summary!$V$4,0,H1421+F1421)</f>
        <v>146380</v>
      </c>
      <c r="I1422" s="26">
        <f>DATE(YEAR(Summary!$V$2),MONTH(Summary!$V$2),DAY(Summary!$V$2)+INT(H1422/480))</f>
        <v>43894</v>
      </c>
      <c r="J1422" s="27">
        <f t="shared" si="22"/>
        <v>0.65277777777777779</v>
      </c>
    </row>
    <row r="1423" spans="1:10">
      <c r="A1423" t="str">
        <f>VLOOKUP(Summary!M1422,Summary!$P$13:$Q$24,2)</f>
        <v>B1200-lime</v>
      </c>
      <c r="B1423">
        <f>ROUND(NORMINV(Summary!M1424,VLOOKUP(A1423,Summary!$Q$13:$S$24,3,FALSE),VLOOKUP(A1423,Summary!$Q$13:$S$24,3,FALSE)/6),-1)</f>
        <v>890</v>
      </c>
      <c r="C1423" t="str">
        <f>IF(AND(H1423=0,C1422=Summary!$P$2),Summary!$Q$2,IF(AND(H1423=0,C1422=Summary!$Q$2),Summary!$R$2,C1422))</f>
        <v>Jared</v>
      </c>
      <c r="D1423" t="str">
        <f>IF(C1423=Summary!$P$26,VLOOKUP(Summary!M1430,Summary!$Q$26:$R$27,2),IF('Run Data'!C1423=Summary!$P$28,VLOOKUP(Summary!M1430,Summary!$Q$28:$R$29,2),VLOOKUP(Summary!M1430,Summary!$Q$30:$R$32,2)))</f>
        <v>Sprig 2</v>
      </c>
      <c r="E1423" t="str">
        <f>VLOOKUP(Summary!M1433,Summary!$P$42:$Q$43,2)</f>
        <v>86</v>
      </c>
      <c r="F1423">
        <f>IF(LEFT(A1423,3)="B60",20,IF(LEFT(A1423,3)="B12",30,25))+B1423*0.5+INT(Summary!M1436*20)</f>
        <v>489</v>
      </c>
      <c r="G1423">
        <f>ROUND(IF(OR(ISERROR(FIND(Summary!$P$89,CONCATENATE(C1423,D1423,E1423))),ISERROR(FIND(Summary!$Q$89,A1423))),Summary!$R$45,IF(H1423&gt;Summary!$V$3,Summary!$R$46,Summary!$R$45))*(B1423+30),0)</f>
        <v>9</v>
      </c>
      <c r="H1423">
        <f>IF(H1422&gt;Summary!$V$4,0,H1422+F1422)</f>
        <v>146904</v>
      </c>
      <c r="I1423" s="26">
        <f>DATE(YEAR(Summary!$V$2),MONTH(Summary!$V$2),DAY(Summary!$V$2)+INT(H1423/480))</f>
        <v>43896</v>
      </c>
      <c r="J1423" s="27">
        <f t="shared" si="22"/>
        <v>0.35000000000000003</v>
      </c>
    </row>
    <row r="1424" spans="1:10">
      <c r="A1424" t="str">
        <f>VLOOKUP(Summary!M1423,Summary!$P$13:$Q$24,2)</f>
        <v>B600-fire</v>
      </c>
      <c r="B1424">
        <f>ROUND(NORMINV(Summary!M1425,VLOOKUP(A1424,Summary!$Q$13:$S$24,3,FALSE),VLOOKUP(A1424,Summary!$Q$13:$S$24,3,FALSE)/6),-1)</f>
        <v>430</v>
      </c>
      <c r="C1424" t="str">
        <f>IF(AND(H1424=0,C1423=Summary!$P$2),Summary!$Q$2,IF(AND(H1424=0,C1423=Summary!$Q$2),Summary!$R$2,C1423))</f>
        <v>Jared</v>
      </c>
      <c r="D1424" t="str">
        <f>IF(C1424=Summary!$P$26,VLOOKUP(Summary!M1431,Summary!$Q$26:$R$27,2),IF('Run Data'!C1424=Summary!$P$28,VLOOKUP(Summary!M1431,Summary!$Q$28:$R$29,2),VLOOKUP(Summary!M1431,Summary!$Q$30:$R$32,2)))</f>
        <v>Sprig 2</v>
      </c>
      <c r="E1424" t="str">
        <f>VLOOKUP(Summary!M1434,Summary!$P$42:$Q$43,2)</f>
        <v>86</v>
      </c>
      <c r="F1424">
        <f>IF(LEFT(A1424,3)="B60",20,IF(LEFT(A1424,3)="B12",30,25))+B1424*0.5+INT(Summary!M1437*20)</f>
        <v>248</v>
      </c>
      <c r="G1424">
        <f>ROUND(IF(OR(ISERROR(FIND(Summary!$P$89,CONCATENATE(C1424,D1424,E1424))),ISERROR(FIND(Summary!$Q$89,A1424))),Summary!$R$45,IF(H1424&gt;Summary!$V$3,Summary!$R$46,Summary!$R$45))*(B1424+30),0)</f>
        <v>5</v>
      </c>
      <c r="H1424">
        <f>IF(H1423&gt;Summary!$V$4,0,H1423+F1423)</f>
        <v>147393</v>
      </c>
      <c r="I1424" s="26">
        <f>DATE(YEAR(Summary!$V$2),MONTH(Summary!$V$2),DAY(Summary!$V$2)+INT(H1424/480))</f>
        <v>43897</v>
      </c>
      <c r="J1424" s="27">
        <f t="shared" si="22"/>
        <v>0.35625000000000001</v>
      </c>
    </row>
    <row r="1425" spans="1:10">
      <c r="A1425" t="str">
        <f>VLOOKUP(Summary!M1424,Summary!$P$13:$Q$24,2)</f>
        <v>B1700-plum</v>
      </c>
      <c r="B1425">
        <f>ROUND(NORMINV(Summary!M1426,VLOOKUP(A1425,Summary!$Q$13:$S$24,3,FALSE),VLOOKUP(A1425,Summary!$Q$13:$S$24,3,FALSE)/6),-1)</f>
        <v>250</v>
      </c>
      <c r="C1425" t="str">
        <f>IF(AND(H1425=0,C1424=Summary!$P$2),Summary!$Q$2,IF(AND(H1425=0,C1424=Summary!$Q$2),Summary!$R$2,C1424))</f>
        <v>Jared</v>
      </c>
      <c r="D1425" t="str">
        <f>IF(C1425=Summary!$P$26,VLOOKUP(Summary!M1432,Summary!$Q$26:$R$27,2),IF('Run Data'!C1425=Summary!$P$28,VLOOKUP(Summary!M1432,Summary!$Q$28:$R$29,2),VLOOKUP(Summary!M1432,Summary!$Q$30:$R$32,2)))</f>
        <v>Sprig 3</v>
      </c>
      <c r="E1425" t="str">
        <f>VLOOKUP(Summary!M1435,Summary!$P$42:$Q$43,2)</f>
        <v>86</v>
      </c>
      <c r="F1425">
        <f>IF(LEFT(A1425,3)="B60",20,IF(LEFT(A1425,3)="B12",30,25))+B1425*0.5+INT(Summary!M1438*20)</f>
        <v>168</v>
      </c>
      <c r="G1425">
        <f>ROUND(IF(OR(ISERROR(FIND(Summary!$P$89,CONCATENATE(C1425,D1425,E1425))),ISERROR(FIND(Summary!$Q$89,A1425))),Summary!$R$45,IF(H1425&gt;Summary!$V$3,Summary!$R$46,Summary!$R$45))*(B1425+30),0)</f>
        <v>34</v>
      </c>
      <c r="H1425">
        <f>IF(H1424&gt;Summary!$V$4,0,H1424+F1424)</f>
        <v>147641</v>
      </c>
      <c r="I1425" s="26">
        <f>DATE(YEAR(Summary!$V$2),MONTH(Summary!$V$2),DAY(Summary!$V$2)+INT(H1425/480))</f>
        <v>43897</v>
      </c>
      <c r="J1425" s="27">
        <f t="shared" ref="J1425:J1488" si="23">TIME(INT(MOD(H1425,480)/60)+8,MOD(MOD(H1425,480),60),0)</f>
        <v>0.52847222222222223</v>
      </c>
    </row>
    <row r="1426" spans="1:10">
      <c r="A1426" t="str">
        <f>VLOOKUP(Summary!M1425,Summary!$P$13:$Q$24,2)</f>
        <v>B1200-lime</v>
      </c>
      <c r="B1426">
        <f>ROUND(NORMINV(Summary!M1427,VLOOKUP(A1426,Summary!$Q$13:$S$24,3,FALSE),VLOOKUP(A1426,Summary!$Q$13:$S$24,3,FALSE)/6),-1)</f>
        <v>780</v>
      </c>
      <c r="C1426" t="str">
        <f>IF(AND(H1426=0,C1425=Summary!$P$2),Summary!$Q$2,IF(AND(H1426=0,C1425=Summary!$Q$2),Summary!$R$2,C1425))</f>
        <v>Jared</v>
      </c>
      <c r="D1426" t="str">
        <f>IF(C1426=Summary!$P$26,VLOOKUP(Summary!M1433,Summary!$Q$26:$R$27,2),IF('Run Data'!C1426=Summary!$P$28,VLOOKUP(Summary!M1433,Summary!$Q$28:$R$29,2),VLOOKUP(Summary!M1433,Summary!$Q$30:$R$32,2)))</f>
        <v>Sprig 2</v>
      </c>
      <c r="E1426" t="str">
        <f>VLOOKUP(Summary!M1436,Summary!$P$42:$Q$43,2)</f>
        <v>86</v>
      </c>
      <c r="F1426">
        <f>IF(LEFT(A1426,3)="B60",20,IF(LEFT(A1426,3)="B12",30,25))+B1426*0.5+INT(Summary!M1439*20)</f>
        <v>433</v>
      </c>
      <c r="G1426">
        <f>ROUND(IF(OR(ISERROR(FIND(Summary!$P$89,CONCATENATE(C1426,D1426,E1426))),ISERROR(FIND(Summary!$Q$89,A1426))),Summary!$R$45,IF(H1426&gt;Summary!$V$3,Summary!$R$46,Summary!$R$45))*(B1426+30),0)</f>
        <v>8</v>
      </c>
      <c r="H1426">
        <f>IF(H1425&gt;Summary!$V$4,0,H1425+F1425)</f>
        <v>147809</v>
      </c>
      <c r="I1426" s="26">
        <f>DATE(YEAR(Summary!$V$2),MONTH(Summary!$V$2),DAY(Summary!$V$2)+INT(H1426/480))</f>
        <v>43897</v>
      </c>
      <c r="J1426" s="27">
        <f t="shared" si="23"/>
        <v>0.64513888888888882</v>
      </c>
    </row>
    <row r="1427" spans="1:10">
      <c r="A1427" t="str">
        <f>VLOOKUP(Summary!M1426,Summary!$P$13:$Q$24,2)</f>
        <v>B600-lime</v>
      </c>
      <c r="B1427">
        <f>ROUND(NORMINV(Summary!M1428,VLOOKUP(A1427,Summary!$Q$13:$S$24,3,FALSE),VLOOKUP(A1427,Summary!$Q$13:$S$24,3,FALSE)/6),-1)</f>
        <v>350</v>
      </c>
      <c r="C1427" t="str">
        <f>IF(AND(H1427=0,C1426=Summary!$P$2),Summary!$Q$2,IF(AND(H1427=0,C1426=Summary!$Q$2),Summary!$R$2,C1426))</f>
        <v>Jared</v>
      </c>
      <c r="D1427" t="str">
        <f>IF(C1427=Summary!$P$26,VLOOKUP(Summary!M1434,Summary!$Q$26:$R$27,2),IF('Run Data'!C1427=Summary!$P$28,VLOOKUP(Summary!M1434,Summary!$Q$28:$R$29,2),VLOOKUP(Summary!M1434,Summary!$Q$30:$R$32,2)))</f>
        <v>Sprig 1</v>
      </c>
      <c r="E1427" t="str">
        <f>VLOOKUP(Summary!M1437,Summary!$P$42:$Q$43,2)</f>
        <v>86</v>
      </c>
      <c r="F1427">
        <f>IF(LEFT(A1427,3)="B60",20,IF(LEFT(A1427,3)="B12",30,25))+B1427*0.5+INT(Summary!M1440*20)</f>
        <v>211</v>
      </c>
      <c r="G1427">
        <f>ROUND(IF(OR(ISERROR(FIND(Summary!$P$89,CONCATENATE(C1427,D1427,E1427))),ISERROR(FIND(Summary!$Q$89,A1427))),Summary!$R$45,IF(H1427&gt;Summary!$V$3,Summary!$R$46,Summary!$R$45))*(B1427+30),0)</f>
        <v>4</v>
      </c>
      <c r="H1427">
        <f>IF(H1426&gt;Summary!$V$4,0,H1426+F1426)</f>
        <v>148242</v>
      </c>
      <c r="I1427" s="26">
        <f>DATE(YEAR(Summary!$V$2),MONTH(Summary!$V$2),DAY(Summary!$V$2)+INT(H1427/480))</f>
        <v>43898</v>
      </c>
      <c r="J1427" s="27">
        <f t="shared" si="23"/>
        <v>0.61249999999999993</v>
      </c>
    </row>
    <row r="1428" spans="1:10">
      <c r="A1428" t="str">
        <f>VLOOKUP(Summary!M1427,Summary!$P$13:$Q$24,2)</f>
        <v>B1200-sky</v>
      </c>
      <c r="B1428">
        <f>ROUND(NORMINV(Summary!M1429,VLOOKUP(A1428,Summary!$Q$13:$S$24,3,FALSE),VLOOKUP(A1428,Summary!$Q$13:$S$24,3,FALSE)/6),-1)</f>
        <v>960</v>
      </c>
      <c r="C1428" t="str">
        <f>IF(AND(H1428=0,C1427=Summary!$P$2),Summary!$Q$2,IF(AND(H1428=0,C1427=Summary!$Q$2),Summary!$R$2,C1427))</f>
        <v>Jared</v>
      </c>
      <c r="D1428" t="str">
        <f>IF(C1428=Summary!$P$26,VLOOKUP(Summary!M1435,Summary!$Q$26:$R$27,2),IF('Run Data'!C1428=Summary!$P$28,VLOOKUP(Summary!M1435,Summary!$Q$28:$R$29,2),VLOOKUP(Summary!M1435,Summary!$Q$30:$R$32,2)))</f>
        <v>Sprig 2</v>
      </c>
      <c r="E1428" t="str">
        <f>VLOOKUP(Summary!M1438,Summary!$P$42:$Q$43,2)</f>
        <v>87b</v>
      </c>
      <c r="F1428">
        <f>IF(LEFT(A1428,3)="B60",20,IF(LEFT(A1428,3)="B12",30,25))+B1428*0.5+INT(Summary!M1441*20)</f>
        <v>525</v>
      </c>
      <c r="G1428">
        <f>ROUND(IF(OR(ISERROR(FIND(Summary!$P$89,CONCATENATE(C1428,D1428,E1428))),ISERROR(FIND(Summary!$Q$89,A1428))),Summary!$R$45,IF(H1428&gt;Summary!$V$3,Summary!$R$46,Summary!$R$45))*(B1428+30),0)</f>
        <v>10</v>
      </c>
      <c r="H1428">
        <f>IF(H1427&gt;Summary!$V$4,0,H1427+F1427)</f>
        <v>148453</v>
      </c>
      <c r="I1428" s="26">
        <f>DATE(YEAR(Summary!$V$2),MONTH(Summary!$V$2),DAY(Summary!$V$2)+INT(H1428/480))</f>
        <v>43899</v>
      </c>
      <c r="J1428" s="27">
        <f t="shared" si="23"/>
        <v>0.42569444444444443</v>
      </c>
    </row>
    <row r="1429" spans="1:10">
      <c r="A1429" t="str">
        <f>VLOOKUP(Summary!M1428,Summary!$P$13:$Q$24,2)</f>
        <v>B1700-sky</v>
      </c>
      <c r="B1429">
        <f>ROUND(NORMINV(Summary!M1430,VLOOKUP(A1429,Summary!$Q$13:$S$24,3,FALSE),VLOOKUP(A1429,Summary!$Q$13:$S$24,3,FALSE)/6),-1)</f>
        <v>510</v>
      </c>
      <c r="C1429" t="str">
        <f>IF(AND(H1429=0,C1428=Summary!$P$2),Summary!$Q$2,IF(AND(H1429=0,C1428=Summary!$Q$2),Summary!$R$2,C1428))</f>
        <v>Jared</v>
      </c>
      <c r="D1429" t="str">
        <f>IF(C1429=Summary!$P$26,VLOOKUP(Summary!M1436,Summary!$Q$26:$R$27,2),IF('Run Data'!C1429=Summary!$P$28,VLOOKUP(Summary!M1436,Summary!$Q$28:$R$29,2),VLOOKUP(Summary!M1436,Summary!$Q$30:$R$32,2)))</f>
        <v>Sprig 3</v>
      </c>
      <c r="E1429" t="str">
        <f>VLOOKUP(Summary!M1439,Summary!$P$42:$Q$43,2)</f>
        <v>86</v>
      </c>
      <c r="F1429">
        <f>IF(LEFT(A1429,3)="B60",20,IF(LEFT(A1429,3)="B12",30,25))+B1429*0.5+INT(Summary!M1442*20)</f>
        <v>294</v>
      </c>
      <c r="G1429">
        <f>ROUND(IF(OR(ISERROR(FIND(Summary!$P$89,CONCATENATE(C1429,D1429,E1429))),ISERROR(FIND(Summary!$Q$89,A1429))),Summary!$R$45,IF(H1429&gt;Summary!$V$3,Summary!$R$46,Summary!$R$45))*(B1429+30),0)</f>
        <v>65</v>
      </c>
      <c r="H1429">
        <f>IF(H1428&gt;Summary!$V$4,0,H1428+F1428)</f>
        <v>148978</v>
      </c>
      <c r="I1429" s="26">
        <f>DATE(YEAR(Summary!$V$2),MONTH(Summary!$V$2),DAY(Summary!$V$2)+INT(H1429/480))</f>
        <v>43900</v>
      </c>
      <c r="J1429" s="27">
        <f t="shared" si="23"/>
        <v>0.45694444444444443</v>
      </c>
    </row>
    <row r="1430" spans="1:10">
      <c r="A1430" t="str">
        <f>VLOOKUP(Summary!M1429,Summary!$P$13:$Q$24,2)</f>
        <v>B600-fire</v>
      </c>
      <c r="B1430">
        <f>ROUND(NORMINV(Summary!M1431,VLOOKUP(A1430,Summary!$Q$13:$S$24,3,FALSE),VLOOKUP(A1430,Summary!$Q$13:$S$24,3,FALSE)/6),-1)</f>
        <v>350</v>
      </c>
      <c r="C1430" t="str">
        <f>IF(AND(H1430=0,C1429=Summary!$P$2),Summary!$Q$2,IF(AND(H1430=0,C1429=Summary!$Q$2),Summary!$R$2,C1429))</f>
        <v>Jared</v>
      </c>
      <c r="D1430" t="str">
        <f>IF(C1430=Summary!$P$26,VLOOKUP(Summary!M1437,Summary!$Q$26:$R$27,2),IF('Run Data'!C1430=Summary!$P$28,VLOOKUP(Summary!M1437,Summary!$Q$28:$R$29,2),VLOOKUP(Summary!M1437,Summary!$Q$30:$R$32,2)))</f>
        <v>Sprig 3</v>
      </c>
      <c r="E1430" t="str">
        <f>VLOOKUP(Summary!M1440,Summary!$P$42:$Q$43,2)</f>
        <v>86</v>
      </c>
      <c r="F1430">
        <f>IF(LEFT(A1430,3)="B60",20,IF(LEFT(A1430,3)="B12",30,25))+B1430*0.5+INT(Summary!M1443*20)</f>
        <v>206</v>
      </c>
      <c r="G1430">
        <f>ROUND(IF(OR(ISERROR(FIND(Summary!$P$89,CONCATENATE(C1430,D1430,E1430))),ISERROR(FIND(Summary!$Q$89,A1430))),Summary!$R$45,IF(H1430&gt;Summary!$V$3,Summary!$R$46,Summary!$R$45))*(B1430+30),0)</f>
        <v>4</v>
      </c>
      <c r="H1430">
        <f>IF(H1429&gt;Summary!$V$4,0,H1429+F1429)</f>
        <v>149272</v>
      </c>
      <c r="I1430" s="26">
        <f>DATE(YEAR(Summary!$V$2),MONTH(Summary!$V$2),DAY(Summary!$V$2)+INT(H1430/480))</f>
        <v>43900</v>
      </c>
      <c r="J1430" s="27">
        <f t="shared" si="23"/>
        <v>0.66111111111111109</v>
      </c>
    </row>
    <row r="1431" spans="1:10">
      <c r="A1431" t="str">
        <f>VLOOKUP(Summary!M1430,Summary!$P$13:$Q$24,2)</f>
        <v>B1200-sky</v>
      </c>
      <c r="B1431">
        <f>ROUND(NORMINV(Summary!M1432,VLOOKUP(A1431,Summary!$Q$13:$S$24,3,FALSE),VLOOKUP(A1431,Summary!$Q$13:$S$24,3,FALSE)/6),-1)</f>
        <v>1350</v>
      </c>
      <c r="C1431" t="str">
        <f>IF(AND(H1431=0,C1430=Summary!$P$2),Summary!$Q$2,IF(AND(H1431=0,C1430=Summary!$Q$2),Summary!$R$2,C1430))</f>
        <v>Jared</v>
      </c>
      <c r="D1431" t="str">
        <f>IF(C1431=Summary!$P$26,VLOOKUP(Summary!M1438,Summary!$Q$26:$R$27,2),IF('Run Data'!C1431=Summary!$P$28,VLOOKUP(Summary!M1438,Summary!$Q$28:$R$29,2),VLOOKUP(Summary!M1438,Summary!$Q$30:$R$32,2)))</f>
        <v>Sprig 3</v>
      </c>
      <c r="E1431" t="str">
        <f>VLOOKUP(Summary!M1441,Summary!$P$42:$Q$43,2)</f>
        <v>86</v>
      </c>
      <c r="F1431">
        <f>IF(LEFT(A1431,3)="B60",20,IF(LEFT(A1431,3)="B12",30,25))+B1431*0.5+INT(Summary!M1444*20)</f>
        <v>714</v>
      </c>
      <c r="G1431">
        <f>ROUND(IF(OR(ISERROR(FIND(Summary!$P$89,CONCATENATE(C1431,D1431,E1431))),ISERROR(FIND(Summary!$Q$89,A1431))),Summary!$R$45,IF(H1431&gt;Summary!$V$3,Summary!$R$46,Summary!$R$45))*(B1431+30),0)</f>
        <v>14</v>
      </c>
      <c r="H1431">
        <f>IF(H1430&gt;Summary!$V$4,0,H1430+F1430)</f>
        <v>149478</v>
      </c>
      <c r="I1431" s="26">
        <f>DATE(YEAR(Summary!$V$2),MONTH(Summary!$V$2),DAY(Summary!$V$2)+INT(H1431/480))</f>
        <v>43901</v>
      </c>
      <c r="J1431" s="27">
        <f t="shared" si="23"/>
        <v>0.47083333333333338</v>
      </c>
    </row>
    <row r="1432" spans="1:10">
      <c r="A1432" t="str">
        <f>VLOOKUP(Summary!M1431,Summary!$P$13:$Q$24,2)</f>
        <v>B1200-plum</v>
      </c>
      <c r="B1432">
        <f>ROUND(NORMINV(Summary!M1433,VLOOKUP(A1432,Summary!$Q$13:$S$24,3,FALSE),VLOOKUP(A1432,Summary!$Q$13:$S$24,3,FALSE)/6),-1)</f>
        <v>460</v>
      </c>
      <c r="C1432" t="str">
        <f>IF(AND(H1432=0,C1431=Summary!$P$2),Summary!$Q$2,IF(AND(H1432=0,C1431=Summary!$Q$2),Summary!$R$2,C1431))</f>
        <v>Jared</v>
      </c>
      <c r="D1432" t="str">
        <f>IF(C1432=Summary!$P$26,VLOOKUP(Summary!M1439,Summary!$Q$26:$R$27,2),IF('Run Data'!C1432=Summary!$P$28,VLOOKUP(Summary!M1439,Summary!$Q$28:$R$29,2),VLOOKUP(Summary!M1439,Summary!$Q$30:$R$32,2)))</f>
        <v>Sprig 3</v>
      </c>
      <c r="E1432" t="str">
        <f>VLOOKUP(Summary!M1442,Summary!$P$42:$Q$43,2)</f>
        <v>86</v>
      </c>
      <c r="F1432">
        <f>IF(LEFT(A1432,3)="B60",20,IF(LEFT(A1432,3)="B12",30,25))+B1432*0.5+INT(Summary!M1445*20)</f>
        <v>274</v>
      </c>
      <c r="G1432">
        <f>ROUND(IF(OR(ISERROR(FIND(Summary!$P$89,CONCATENATE(C1432,D1432,E1432))),ISERROR(FIND(Summary!$Q$89,A1432))),Summary!$R$45,IF(H1432&gt;Summary!$V$3,Summary!$R$46,Summary!$R$45))*(B1432+30),0)</f>
        <v>5</v>
      </c>
      <c r="H1432">
        <f>IF(H1431&gt;Summary!$V$4,0,H1431+F1431)</f>
        <v>150192</v>
      </c>
      <c r="I1432" s="26">
        <f>DATE(YEAR(Summary!$V$2),MONTH(Summary!$V$2),DAY(Summary!$V$2)+INT(H1432/480))</f>
        <v>43902</v>
      </c>
      <c r="J1432" s="27">
        <f t="shared" si="23"/>
        <v>0.6333333333333333</v>
      </c>
    </row>
    <row r="1433" spans="1:10">
      <c r="A1433" t="str">
        <f>VLOOKUP(Summary!M1432,Summary!$P$13:$Q$24,2)</f>
        <v>B1700-plum</v>
      </c>
      <c r="B1433">
        <f>ROUND(NORMINV(Summary!M1434,VLOOKUP(A1433,Summary!$Q$13:$S$24,3,FALSE),VLOOKUP(A1433,Summary!$Q$13:$S$24,3,FALSE)/6),-1)</f>
        <v>250</v>
      </c>
      <c r="C1433" t="str">
        <f>IF(AND(H1433=0,C1432=Summary!$P$2),Summary!$Q$2,IF(AND(H1433=0,C1432=Summary!$Q$2),Summary!$R$2,C1432))</f>
        <v>Jared</v>
      </c>
      <c r="D1433" t="str">
        <f>IF(C1433=Summary!$P$26,VLOOKUP(Summary!M1440,Summary!$Q$26:$R$27,2),IF('Run Data'!C1433=Summary!$P$28,VLOOKUP(Summary!M1440,Summary!$Q$28:$R$29,2),VLOOKUP(Summary!M1440,Summary!$Q$30:$R$32,2)))</f>
        <v>Sprig 3</v>
      </c>
      <c r="E1433" t="str">
        <f>VLOOKUP(Summary!M1443,Summary!$P$42:$Q$43,2)</f>
        <v>86</v>
      </c>
      <c r="F1433">
        <f>IF(LEFT(A1433,3)="B60",20,IF(LEFT(A1433,3)="B12",30,25))+B1433*0.5+INT(Summary!M1446*20)</f>
        <v>168</v>
      </c>
      <c r="G1433">
        <f>ROUND(IF(OR(ISERROR(FIND(Summary!$P$89,CONCATENATE(C1433,D1433,E1433))),ISERROR(FIND(Summary!$Q$89,A1433))),Summary!$R$45,IF(H1433&gt;Summary!$V$3,Summary!$R$46,Summary!$R$45))*(B1433+30),0)</f>
        <v>34</v>
      </c>
      <c r="H1433">
        <f>IF(H1432&gt;Summary!$V$4,0,H1432+F1432)</f>
        <v>150466</v>
      </c>
      <c r="I1433" s="26">
        <f>DATE(YEAR(Summary!$V$2),MONTH(Summary!$V$2),DAY(Summary!$V$2)+INT(H1433/480))</f>
        <v>43903</v>
      </c>
      <c r="J1433" s="27">
        <f t="shared" si="23"/>
        <v>0.49027777777777781</v>
      </c>
    </row>
    <row r="1434" spans="1:10">
      <c r="A1434" t="str">
        <f>VLOOKUP(Summary!M1433,Summary!$P$13:$Q$24,2)</f>
        <v>B1200-lime</v>
      </c>
      <c r="B1434">
        <f>ROUND(NORMINV(Summary!M1435,VLOOKUP(A1434,Summary!$Q$13:$S$24,3,FALSE),VLOOKUP(A1434,Summary!$Q$13:$S$24,3,FALSE)/6),-1)</f>
        <v>700</v>
      </c>
      <c r="C1434" t="str">
        <f>IF(AND(H1434=0,C1433=Summary!$P$2),Summary!$Q$2,IF(AND(H1434=0,C1433=Summary!$Q$2),Summary!$R$2,C1433))</f>
        <v>Jared</v>
      </c>
      <c r="D1434" t="str">
        <f>IF(C1434=Summary!$P$26,VLOOKUP(Summary!M1441,Summary!$Q$26:$R$27,2),IF('Run Data'!C1434=Summary!$P$28,VLOOKUP(Summary!M1441,Summary!$Q$28:$R$29,2),VLOOKUP(Summary!M1441,Summary!$Q$30:$R$32,2)))</f>
        <v>Sprig 3</v>
      </c>
      <c r="E1434" t="str">
        <f>VLOOKUP(Summary!M1444,Summary!$P$42:$Q$43,2)</f>
        <v>86</v>
      </c>
      <c r="F1434">
        <f>IF(LEFT(A1434,3)="B60",20,IF(LEFT(A1434,3)="B12",30,25))+B1434*0.5+INT(Summary!M1447*20)</f>
        <v>384</v>
      </c>
      <c r="G1434">
        <f>ROUND(IF(OR(ISERROR(FIND(Summary!$P$89,CONCATENATE(C1434,D1434,E1434))),ISERROR(FIND(Summary!$Q$89,A1434))),Summary!$R$45,IF(H1434&gt;Summary!$V$3,Summary!$R$46,Summary!$R$45))*(B1434+30),0)</f>
        <v>7</v>
      </c>
      <c r="H1434">
        <f>IF(H1433&gt;Summary!$V$4,0,H1433+F1433)</f>
        <v>150634</v>
      </c>
      <c r="I1434" s="26">
        <f>DATE(YEAR(Summary!$V$2),MONTH(Summary!$V$2),DAY(Summary!$V$2)+INT(H1434/480))</f>
        <v>43903</v>
      </c>
      <c r="J1434" s="27">
        <f t="shared" si="23"/>
        <v>0.6069444444444444</v>
      </c>
    </row>
    <row r="1435" spans="1:10">
      <c r="A1435" t="str">
        <f>VLOOKUP(Summary!M1434,Summary!$P$13:$Q$24,2)</f>
        <v>B600-fire</v>
      </c>
      <c r="B1435">
        <f>ROUND(NORMINV(Summary!M1436,VLOOKUP(A1435,Summary!$Q$13:$S$24,3,FALSE),VLOOKUP(A1435,Summary!$Q$13:$S$24,3,FALSE)/6),-1)</f>
        <v>440</v>
      </c>
      <c r="C1435" t="str">
        <f>IF(AND(H1435=0,C1434=Summary!$P$2),Summary!$Q$2,IF(AND(H1435=0,C1434=Summary!$Q$2),Summary!$R$2,C1434))</f>
        <v>Jared</v>
      </c>
      <c r="D1435" t="str">
        <f>IF(C1435=Summary!$P$26,VLOOKUP(Summary!M1442,Summary!$Q$26:$R$27,2),IF('Run Data'!C1435=Summary!$P$28,VLOOKUP(Summary!M1442,Summary!$Q$28:$R$29,2),VLOOKUP(Summary!M1442,Summary!$Q$30:$R$32,2)))</f>
        <v>Sprig 3</v>
      </c>
      <c r="E1435" t="str">
        <f>VLOOKUP(Summary!M1445,Summary!$P$42:$Q$43,2)</f>
        <v>86</v>
      </c>
      <c r="F1435">
        <f>IF(LEFT(A1435,3)="B60",20,IF(LEFT(A1435,3)="B12",30,25))+B1435*0.5+INT(Summary!M1448*20)</f>
        <v>242</v>
      </c>
      <c r="G1435">
        <f>ROUND(IF(OR(ISERROR(FIND(Summary!$P$89,CONCATENATE(C1435,D1435,E1435))),ISERROR(FIND(Summary!$Q$89,A1435))),Summary!$R$45,IF(H1435&gt;Summary!$V$3,Summary!$R$46,Summary!$R$45))*(B1435+30),0)</f>
        <v>5</v>
      </c>
      <c r="H1435">
        <f>IF(H1434&gt;Summary!$V$4,0,H1434+F1434)</f>
        <v>151018</v>
      </c>
      <c r="I1435" s="26">
        <f>DATE(YEAR(Summary!$V$2),MONTH(Summary!$V$2),DAY(Summary!$V$2)+INT(H1435/480))</f>
        <v>43904</v>
      </c>
      <c r="J1435" s="27">
        <f t="shared" si="23"/>
        <v>0.54027777777777775</v>
      </c>
    </row>
    <row r="1436" spans="1:10">
      <c r="A1436" t="str">
        <f>VLOOKUP(Summary!M1435,Summary!$P$13:$Q$24,2)</f>
        <v>B600-lime</v>
      </c>
      <c r="B1436">
        <f>ROUND(NORMINV(Summary!M1437,VLOOKUP(A1436,Summary!$Q$13:$S$24,3,FALSE),VLOOKUP(A1436,Summary!$Q$13:$S$24,3,FALSE)/6),-1)</f>
        <v>320</v>
      </c>
      <c r="C1436" t="str">
        <f>IF(AND(H1436=0,C1435=Summary!$P$2),Summary!$Q$2,IF(AND(H1436=0,C1435=Summary!$Q$2),Summary!$R$2,C1435))</f>
        <v>Jared</v>
      </c>
      <c r="D1436" t="str">
        <f>IF(C1436=Summary!$P$26,VLOOKUP(Summary!M1443,Summary!$Q$26:$R$27,2),IF('Run Data'!C1436=Summary!$P$28,VLOOKUP(Summary!M1443,Summary!$Q$28:$R$29,2),VLOOKUP(Summary!M1443,Summary!$Q$30:$R$32,2)))</f>
        <v>Sprig 2</v>
      </c>
      <c r="E1436" t="str">
        <f>VLOOKUP(Summary!M1446,Summary!$P$42:$Q$43,2)</f>
        <v>87b</v>
      </c>
      <c r="F1436">
        <f>IF(LEFT(A1436,3)="B60",20,IF(LEFT(A1436,3)="B12",30,25))+B1436*0.5+INT(Summary!M1449*20)</f>
        <v>186</v>
      </c>
      <c r="G1436">
        <f>ROUND(IF(OR(ISERROR(FIND(Summary!$P$89,CONCATENATE(C1436,D1436,E1436))),ISERROR(FIND(Summary!$Q$89,A1436))),Summary!$R$45,IF(H1436&gt;Summary!$V$3,Summary!$R$46,Summary!$R$45))*(B1436+30),0)</f>
        <v>4</v>
      </c>
      <c r="H1436">
        <f>IF(H1435&gt;Summary!$V$4,0,H1435+F1435)</f>
        <v>151260</v>
      </c>
      <c r="I1436" s="26">
        <f>DATE(YEAR(Summary!$V$2),MONTH(Summary!$V$2),DAY(Summary!$V$2)+INT(H1436/480))</f>
        <v>43905</v>
      </c>
      <c r="J1436" s="27">
        <f t="shared" si="23"/>
        <v>0.375</v>
      </c>
    </row>
    <row r="1437" spans="1:10">
      <c r="A1437" t="str">
        <f>VLOOKUP(Summary!M1436,Summary!$P$13:$Q$24,2)</f>
        <v>B1700-plum</v>
      </c>
      <c r="B1437">
        <f>ROUND(NORMINV(Summary!M1438,VLOOKUP(A1437,Summary!$Q$13:$S$24,3,FALSE),VLOOKUP(A1437,Summary!$Q$13:$S$24,3,FALSE)/6),-1)</f>
        <v>370</v>
      </c>
      <c r="C1437" t="str">
        <f>IF(AND(H1437=0,C1436=Summary!$P$2),Summary!$Q$2,IF(AND(H1437=0,C1436=Summary!$Q$2),Summary!$R$2,C1436))</f>
        <v>Jared</v>
      </c>
      <c r="D1437" t="str">
        <f>IF(C1437=Summary!$P$26,VLOOKUP(Summary!M1444,Summary!$Q$26:$R$27,2),IF('Run Data'!C1437=Summary!$P$28,VLOOKUP(Summary!M1444,Summary!$Q$28:$R$29,2),VLOOKUP(Summary!M1444,Summary!$Q$30:$R$32,2)))</f>
        <v>Sprig 2</v>
      </c>
      <c r="E1437" t="str">
        <f>VLOOKUP(Summary!M1447,Summary!$P$42:$Q$43,2)</f>
        <v>86</v>
      </c>
      <c r="F1437">
        <f>IF(LEFT(A1437,3)="B60",20,IF(LEFT(A1437,3)="B12",30,25))+B1437*0.5+INT(Summary!M1450*20)</f>
        <v>228</v>
      </c>
      <c r="G1437">
        <f>ROUND(IF(OR(ISERROR(FIND(Summary!$P$89,CONCATENATE(C1437,D1437,E1437))),ISERROR(FIND(Summary!$Q$89,A1437))),Summary!$R$45,IF(H1437&gt;Summary!$V$3,Summary!$R$46,Summary!$R$45))*(B1437+30),0)</f>
        <v>48</v>
      </c>
      <c r="H1437">
        <f>IF(H1436&gt;Summary!$V$4,0,H1436+F1436)</f>
        <v>151446</v>
      </c>
      <c r="I1437" s="26">
        <f>DATE(YEAR(Summary!$V$2),MONTH(Summary!$V$2),DAY(Summary!$V$2)+INT(H1437/480))</f>
        <v>43905</v>
      </c>
      <c r="J1437" s="27">
        <f t="shared" si="23"/>
        <v>0.50416666666666665</v>
      </c>
    </row>
    <row r="1438" spans="1:10">
      <c r="A1438" t="str">
        <f>VLOOKUP(Summary!M1437,Summary!$P$13:$Q$24,2)</f>
        <v>B1200-lime</v>
      </c>
      <c r="B1438">
        <f>ROUND(NORMINV(Summary!M1439,VLOOKUP(A1438,Summary!$Q$13:$S$24,3,FALSE),VLOOKUP(A1438,Summary!$Q$13:$S$24,3,FALSE)/6),-1)</f>
        <v>870</v>
      </c>
      <c r="C1438" t="str">
        <f>IF(AND(H1438=0,C1437=Summary!$P$2),Summary!$Q$2,IF(AND(H1438=0,C1437=Summary!$Q$2),Summary!$R$2,C1437))</f>
        <v>Jared</v>
      </c>
      <c r="D1438" t="str">
        <f>IF(C1438=Summary!$P$26,VLOOKUP(Summary!M1445,Summary!$Q$26:$R$27,2),IF('Run Data'!C1438=Summary!$P$28,VLOOKUP(Summary!M1445,Summary!$Q$28:$R$29,2),VLOOKUP(Summary!M1445,Summary!$Q$30:$R$32,2)))</f>
        <v>Sprig 3</v>
      </c>
      <c r="E1438" t="str">
        <f>VLOOKUP(Summary!M1448,Summary!$P$42:$Q$43,2)</f>
        <v>86</v>
      </c>
      <c r="F1438">
        <f>IF(LEFT(A1438,3)="B60",20,IF(LEFT(A1438,3)="B12",30,25))+B1438*0.5+INT(Summary!M1451*20)</f>
        <v>477</v>
      </c>
      <c r="G1438">
        <f>ROUND(IF(OR(ISERROR(FIND(Summary!$P$89,CONCATENATE(C1438,D1438,E1438))),ISERROR(FIND(Summary!$Q$89,A1438))),Summary!$R$45,IF(H1438&gt;Summary!$V$3,Summary!$R$46,Summary!$R$45))*(B1438+30),0)</f>
        <v>9</v>
      </c>
      <c r="H1438">
        <f>IF(H1437&gt;Summary!$V$4,0,H1437+F1437)</f>
        <v>151674</v>
      </c>
      <c r="I1438" s="26">
        <f>DATE(YEAR(Summary!$V$2),MONTH(Summary!$V$2),DAY(Summary!$V$2)+INT(H1438/480))</f>
        <v>43905</v>
      </c>
      <c r="J1438" s="27">
        <f t="shared" si="23"/>
        <v>0.66249999999999998</v>
      </c>
    </row>
    <row r="1439" spans="1:10">
      <c r="A1439" t="str">
        <f>VLOOKUP(Summary!M1438,Summary!$P$13:$Q$24,2)</f>
        <v>B1700-lime</v>
      </c>
      <c r="B1439">
        <f>ROUND(NORMINV(Summary!M1440,VLOOKUP(A1439,Summary!$Q$13:$S$24,3,FALSE),VLOOKUP(A1439,Summary!$Q$13:$S$24,3,FALSE)/6),-1)</f>
        <v>460</v>
      </c>
      <c r="C1439" t="str">
        <f>IF(AND(H1439=0,C1438=Summary!$P$2),Summary!$Q$2,IF(AND(H1439=0,C1438=Summary!$Q$2),Summary!$R$2,C1438))</f>
        <v>Jared</v>
      </c>
      <c r="D1439" t="str">
        <f>IF(C1439=Summary!$P$26,VLOOKUP(Summary!M1446,Summary!$Q$26:$R$27,2),IF('Run Data'!C1439=Summary!$P$28,VLOOKUP(Summary!M1446,Summary!$Q$28:$R$29,2),VLOOKUP(Summary!M1446,Summary!$Q$30:$R$32,2)))</f>
        <v>Sprig 3</v>
      </c>
      <c r="E1439" t="str">
        <f>VLOOKUP(Summary!M1449,Summary!$P$42:$Q$43,2)</f>
        <v>86</v>
      </c>
      <c r="F1439">
        <f>IF(LEFT(A1439,3)="B60",20,IF(LEFT(A1439,3)="B12",30,25))+B1439*0.5+INT(Summary!M1452*20)</f>
        <v>274</v>
      </c>
      <c r="G1439">
        <f>ROUND(IF(OR(ISERROR(FIND(Summary!$P$89,CONCATENATE(C1439,D1439,E1439))),ISERROR(FIND(Summary!$Q$89,A1439))),Summary!$R$45,IF(H1439&gt;Summary!$V$3,Summary!$R$46,Summary!$R$45))*(B1439+30),0)</f>
        <v>59</v>
      </c>
      <c r="H1439">
        <f>IF(H1438&gt;Summary!$V$4,0,H1438+F1438)</f>
        <v>152151</v>
      </c>
      <c r="I1439" s="26">
        <f>DATE(YEAR(Summary!$V$2),MONTH(Summary!$V$2),DAY(Summary!$V$2)+INT(H1439/480))</f>
        <v>43906</v>
      </c>
      <c r="J1439" s="27">
        <f t="shared" si="23"/>
        <v>0.66041666666666665</v>
      </c>
    </row>
    <row r="1440" spans="1:10">
      <c r="A1440" t="str">
        <f>VLOOKUP(Summary!M1439,Summary!$P$13:$Q$24,2)</f>
        <v>B1200-lime</v>
      </c>
      <c r="B1440">
        <f>ROUND(NORMINV(Summary!M1441,VLOOKUP(A1440,Summary!$Q$13:$S$24,3,FALSE),VLOOKUP(A1440,Summary!$Q$13:$S$24,3,FALSE)/6),-1)</f>
        <v>910</v>
      </c>
      <c r="C1440" t="str">
        <f>IF(AND(H1440=0,C1439=Summary!$P$2),Summary!$Q$2,IF(AND(H1440=0,C1439=Summary!$Q$2),Summary!$R$2,C1439))</f>
        <v>Jared</v>
      </c>
      <c r="D1440" t="str">
        <f>IF(C1440=Summary!$P$26,VLOOKUP(Summary!M1447,Summary!$Q$26:$R$27,2),IF('Run Data'!C1440=Summary!$P$28,VLOOKUP(Summary!M1447,Summary!$Q$28:$R$29,2),VLOOKUP(Summary!M1447,Summary!$Q$30:$R$32,2)))</f>
        <v>Sprig 2</v>
      </c>
      <c r="E1440" t="str">
        <f>VLOOKUP(Summary!M1450,Summary!$P$42:$Q$43,2)</f>
        <v>87b</v>
      </c>
      <c r="F1440">
        <f>IF(LEFT(A1440,3)="B60",20,IF(LEFT(A1440,3)="B12",30,25))+B1440*0.5+INT(Summary!M1453*20)</f>
        <v>500</v>
      </c>
      <c r="G1440">
        <f>ROUND(IF(OR(ISERROR(FIND(Summary!$P$89,CONCATENATE(C1440,D1440,E1440))),ISERROR(FIND(Summary!$Q$89,A1440))),Summary!$R$45,IF(H1440&gt;Summary!$V$3,Summary!$R$46,Summary!$R$45))*(B1440+30),0)</f>
        <v>9</v>
      </c>
      <c r="H1440">
        <f>IF(H1439&gt;Summary!$V$4,0,H1439+F1439)</f>
        <v>152425</v>
      </c>
      <c r="I1440" s="26">
        <f>DATE(YEAR(Summary!$V$2),MONTH(Summary!$V$2),DAY(Summary!$V$2)+INT(H1440/480))</f>
        <v>43907</v>
      </c>
      <c r="J1440" s="27">
        <f t="shared" si="23"/>
        <v>0.51736111111111105</v>
      </c>
    </row>
    <row r="1441" spans="1:10">
      <c r="A1441" t="str">
        <f>VLOOKUP(Summary!M1440,Summary!$P$13:$Q$24,2)</f>
        <v>B1700-sky</v>
      </c>
      <c r="B1441">
        <f>ROUND(NORMINV(Summary!M1442,VLOOKUP(A1441,Summary!$Q$13:$S$24,3,FALSE),VLOOKUP(A1441,Summary!$Q$13:$S$24,3,FALSE)/6),-1)</f>
        <v>600</v>
      </c>
      <c r="C1441" t="str">
        <f>IF(AND(H1441=0,C1440=Summary!$P$2),Summary!$Q$2,IF(AND(H1441=0,C1440=Summary!$Q$2),Summary!$R$2,C1440))</f>
        <v>Jared</v>
      </c>
      <c r="D1441" t="str">
        <f>IF(C1441=Summary!$P$26,VLOOKUP(Summary!M1448,Summary!$Q$26:$R$27,2),IF('Run Data'!C1441=Summary!$P$28,VLOOKUP(Summary!M1448,Summary!$Q$28:$R$29,2),VLOOKUP(Summary!M1448,Summary!$Q$30:$R$32,2)))</f>
        <v>Sprig 1</v>
      </c>
      <c r="E1441" t="str">
        <f>VLOOKUP(Summary!M1451,Summary!$P$42:$Q$43,2)</f>
        <v>86</v>
      </c>
      <c r="F1441">
        <f>IF(LEFT(A1441,3)="B60",20,IF(LEFT(A1441,3)="B12",30,25))+B1441*0.5+INT(Summary!M1454*20)</f>
        <v>343</v>
      </c>
      <c r="G1441">
        <f>ROUND(IF(OR(ISERROR(FIND(Summary!$P$89,CONCATENATE(C1441,D1441,E1441))),ISERROR(FIND(Summary!$Q$89,A1441))),Summary!$R$45,IF(H1441&gt;Summary!$V$3,Summary!$R$46,Summary!$R$45))*(B1441+30),0)</f>
        <v>76</v>
      </c>
      <c r="H1441">
        <f>IF(H1440&gt;Summary!$V$4,0,H1440+F1440)</f>
        <v>152925</v>
      </c>
      <c r="I1441" s="26">
        <f>DATE(YEAR(Summary!$V$2),MONTH(Summary!$V$2),DAY(Summary!$V$2)+INT(H1441/480))</f>
        <v>43908</v>
      </c>
      <c r="J1441" s="27">
        <f t="shared" si="23"/>
        <v>0.53125</v>
      </c>
    </row>
    <row r="1442" spans="1:10">
      <c r="A1442" t="str">
        <f>VLOOKUP(Summary!M1441,Summary!$P$13:$Q$24,2)</f>
        <v>B1700-sky</v>
      </c>
      <c r="B1442">
        <f>ROUND(NORMINV(Summary!M1443,VLOOKUP(A1442,Summary!$Q$13:$S$24,3,FALSE),VLOOKUP(A1442,Summary!$Q$13:$S$24,3,FALSE)/6),-1)</f>
        <v>570</v>
      </c>
      <c r="C1442" t="str">
        <f>IF(AND(H1442=0,C1441=Summary!$P$2),Summary!$Q$2,IF(AND(H1442=0,C1441=Summary!$Q$2),Summary!$R$2,C1441))</f>
        <v>Jared</v>
      </c>
      <c r="D1442" t="str">
        <f>IF(C1442=Summary!$P$26,VLOOKUP(Summary!M1449,Summary!$Q$26:$R$27,2),IF('Run Data'!C1442=Summary!$P$28,VLOOKUP(Summary!M1449,Summary!$Q$28:$R$29,2),VLOOKUP(Summary!M1449,Summary!$Q$30:$R$32,2)))</f>
        <v>Sprig 2</v>
      </c>
      <c r="E1442" t="str">
        <f>VLOOKUP(Summary!M1452,Summary!$P$42:$Q$43,2)</f>
        <v>87b</v>
      </c>
      <c r="F1442">
        <f>IF(LEFT(A1442,3)="B60",20,IF(LEFT(A1442,3)="B12",30,25))+B1442*0.5+INT(Summary!M1455*20)</f>
        <v>328</v>
      </c>
      <c r="G1442">
        <f>ROUND(IF(OR(ISERROR(FIND(Summary!$P$89,CONCATENATE(C1442,D1442,E1442))),ISERROR(FIND(Summary!$Q$89,A1442))),Summary!$R$45,IF(H1442&gt;Summary!$V$3,Summary!$R$46,Summary!$R$45))*(B1442+30),0)</f>
        <v>6</v>
      </c>
      <c r="H1442">
        <f>IF(H1441&gt;Summary!$V$4,0,H1441+F1441)</f>
        <v>153268</v>
      </c>
      <c r="I1442" s="26">
        <f>DATE(YEAR(Summary!$V$2),MONTH(Summary!$V$2),DAY(Summary!$V$2)+INT(H1442/480))</f>
        <v>43909</v>
      </c>
      <c r="J1442" s="27">
        <f t="shared" si="23"/>
        <v>0.43611111111111112</v>
      </c>
    </row>
    <row r="1443" spans="1:10">
      <c r="A1443" t="str">
        <f>VLOOKUP(Summary!M1442,Summary!$P$13:$Q$24,2)</f>
        <v>B1700-plum</v>
      </c>
      <c r="B1443">
        <f>ROUND(NORMINV(Summary!M1444,VLOOKUP(A1443,Summary!$Q$13:$S$24,3,FALSE),VLOOKUP(A1443,Summary!$Q$13:$S$24,3,FALSE)/6),-1)</f>
        <v>300</v>
      </c>
      <c r="C1443" t="str">
        <f>IF(AND(H1443=0,C1442=Summary!$P$2),Summary!$Q$2,IF(AND(H1443=0,C1442=Summary!$Q$2),Summary!$R$2,C1442))</f>
        <v>Jared</v>
      </c>
      <c r="D1443" t="str">
        <f>IF(C1443=Summary!$P$26,VLOOKUP(Summary!M1450,Summary!$Q$26:$R$27,2),IF('Run Data'!C1443=Summary!$P$28,VLOOKUP(Summary!M1450,Summary!$Q$28:$R$29,2),VLOOKUP(Summary!M1450,Summary!$Q$30:$R$32,2)))</f>
        <v>Sprig 3</v>
      </c>
      <c r="E1443" t="str">
        <f>VLOOKUP(Summary!M1453,Summary!$P$42:$Q$43,2)</f>
        <v>86</v>
      </c>
      <c r="F1443">
        <f>IF(LEFT(A1443,3)="B60",20,IF(LEFT(A1443,3)="B12",30,25))+B1443*0.5+INT(Summary!M1456*20)</f>
        <v>184</v>
      </c>
      <c r="G1443">
        <f>ROUND(IF(OR(ISERROR(FIND(Summary!$P$89,CONCATENATE(C1443,D1443,E1443))),ISERROR(FIND(Summary!$Q$89,A1443))),Summary!$R$45,IF(H1443&gt;Summary!$V$3,Summary!$R$46,Summary!$R$45))*(B1443+30),0)</f>
        <v>40</v>
      </c>
      <c r="H1443">
        <f>IF(H1442&gt;Summary!$V$4,0,H1442+F1442)</f>
        <v>153596</v>
      </c>
      <c r="I1443" s="26">
        <f>DATE(YEAR(Summary!$V$2),MONTH(Summary!$V$2),DAY(Summary!$V$2)+INT(H1443/480))</f>
        <v>43909</v>
      </c>
      <c r="J1443" s="27">
        <f t="shared" si="23"/>
        <v>0.66388888888888886</v>
      </c>
    </row>
    <row r="1444" spans="1:10">
      <c r="A1444" t="str">
        <f>VLOOKUP(Summary!M1443,Summary!$P$13:$Q$24,2)</f>
        <v>B1200-lime</v>
      </c>
      <c r="B1444">
        <f>ROUND(NORMINV(Summary!M1445,VLOOKUP(A1444,Summary!$Q$13:$S$24,3,FALSE),VLOOKUP(A1444,Summary!$Q$13:$S$24,3,FALSE)/6),-1)</f>
        <v>870</v>
      </c>
      <c r="C1444" t="str">
        <f>IF(AND(H1444=0,C1443=Summary!$P$2),Summary!$Q$2,IF(AND(H1444=0,C1443=Summary!$Q$2),Summary!$R$2,C1443))</f>
        <v>Jared</v>
      </c>
      <c r="D1444" t="str">
        <f>IF(C1444=Summary!$P$26,VLOOKUP(Summary!M1451,Summary!$Q$26:$R$27,2),IF('Run Data'!C1444=Summary!$P$28,VLOOKUP(Summary!M1451,Summary!$Q$28:$R$29,2),VLOOKUP(Summary!M1451,Summary!$Q$30:$R$32,2)))</f>
        <v>Sprig 3</v>
      </c>
      <c r="E1444" t="str">
        <f>VLOOKUP(Summary!M1454,Summary!$P$42:$Q$43,2)</f>
        <v>87b</v>
      </c>
      <c r="F1444">
        <f>IF(LEFT(A1444,3)="B60",20,IF(LEFT(A1444,3)="B12",30,25))+B1444*0.5+INT(Summary!M1457*20)</f>
        <v>473</v>
      </c>
      <c r="G1444">
        <f>ROUND(IF(OR(ISERROR(FIND(Summary!$P$89,CONCATENATE(C1444,D1444,E1444))),ISERROR(FIND(Summary!$Q$89,A1444))),Summary!$R$45,IF(H1444&gt;Summary!$V$3,Summary!$R$46,Summary!$R$45))*(B1444+30),0)</f>
        <v>9</v>
      </c>
      <c r="H1444">
        <f>IF(H1443&gt;Summary!$V$4,0,H1443+F1443)</f>
        <v>153780</v>
      </c>
      <c r="I1444" s="26">
        <f>DATE(YEAR(Summary!$V$2),MONTH(Summary!$V$2),DAY(Summary!$V$2)+INT(H1444/480))</f>
        <v>43910</v>
      </c>
      <c r="J1444" s="27">
        <f t="shared" si="23"/>
        <v>0.45833333333333331</v>
      </c>
    </row>
    <row r="1445" spans="1:10">
      <c r="A1445" t="str">
        <f>VLOOKUP(Summary!M1444,Summary!$P$13:$Q$24,2)</f>
        <v>B1200-fire</v>
      </c>
      <c r="B1445">
        <f>ROUND(NORMINV(Summary!M1446,VLOOKUP(A1445,Summary!$Q$13:$S$24,3,FALSE),VLOOKUP(A1445,Summary!$Q$13:$S$24,3,FALSE)/6),-1)</f>
        <v>1490</v>
      </c>
      <c r="C1445" t="str">
        <f>IF(AND(H1445=0,C1444=Summary!$P$2),Summary!$Q$2,IF(AND(H1445=0,C1444=Summary!$Q$2),Summary!$R$2,C1444))</f>
        <v>Jared</v>
      </c>
      <c r="D1445" t="str">
        <f>IF(C1445=Summary!$P$26,VLOOKUP(Summary!M1452,Summary!$Q$26:$R$27,2),IF('Run Data'!C1445=Summary!$P$28,VLOOKUP(Summary!M1452,Summary!$Q$28:$R$29,2),VLOOKUP(Summary!M1452,Summary!$Q$30:$R$32,2)))</f>
        <v>Sprig 3</v>
      </c>
      <c r="E1445" t="str">
        <f>VLOOKUP(Summary!M1455,Summary!$P$42:$Q$43,2)</f>
        <v>87b</v>
      </c>
      <c r="F1445">
        <f>IF(LEFT(A1445,3)="B60",20,IF(LEFT(A1445,3)="B12",30,25))+B1445*0.5+INT(Summary!M1458*20)</f>
        <v>783</v>
      </c>
      <c r="G1445">
        <f>ROUND(IF(OR(ISERROR(FIND(Summary!$P$89,CONCATENATE(C1445,D1445,E1445))),ISERROR(FIND(Summary!$Q$89,A1445))),Summary!$R$45,IF(H1445&gt;Summary!$V$3,Summary!$R$46,Summary!$R$45))*(B1445+30),0)</f>
        <v>15</v>
      </c>
      <c r="H1445">
        <f>IF(H1444&gt;Summary!$V$4,0,H1444+F1444)</f>
        <v>154253</v>
      </c>
      <c r="I1445" s="26">
        <f>DATE(YEAR(Summary!$V$2),MONTH(Summary!$V$2),DAY(Summary!$V$2)+INT(H1445/480))</f>
        <v>43911</v>
      </c>
      <c r="J1445" s="27">
        <f t="shared" si="23"/>
        <v>0.45347222222222222</v>
      </c>
    </row>
    <row r="1446" spans="1:10">
      <c r="A1446" t="str">
        <f>VLOOKUP(Summary!M1445,Summary!$P$13:$Q$24,2)</f>
        <v>B1700-plum</v>
      </c>
      <c r="B1446">
        <f>ROUND(NORMINV(Summary!M1447,VLOOKUP(A1446,Summary!$Q$13:$S$24,3,FALSE),VLOOKUP(A1446,Summary!$Q$13:$S$24,3,FALSE)/6),-1)</f>
        <v>260</v>
      </c>
      <c r="C1446" t="str">
        <f>IF(AND(H1446=0,C1445=Summary!$P$2),Summary!$Q$2,IF(AND(H1446=0,C1445=Summary!$Q$2),Summary!$R$2,C1445))</f>
        <v>Jared</v>
      </c>
      <c r="D1446" t="str">
        <f>IF(C1446=Summary!$P$26,VLOOKUP(Summary!M1453,Summary!$Q$26:$R$27,2),IF('Run Data'!C1446=Summary!$P$28,VLOOKUP(Summary!M1453,Summary!$Q$28:$R$29,2),VLOOKUP(Summary!M1453,Summary!$Q$30:$R$32,2)))</f>
        <v>Sprig 3</v>
      </c>
      <c r="E1446" t="str">
        <f>VLOOKUP(Summary!M1456,Summary!$P$42:$Q$43,2)</f>
        <v>86</v>
      </c>
      <c r="F1446">
        <f>IF(LEFT(A1446,3)="B60",20,IF(LEFT(A1446,3)="B12",30,25))+B1446*0.5+INT(Summary!M1459*20)</f>
        <v>174</v>
      </c>
      <c r="G1446">
        <f>ROUND(IF(OR(ISERROR(FIND(Summary!$P$89,CONCATENATE(C1446,D1446,E1446))),ISERROR(FIND(Summary!$Q$89,A1446))),Summary!$R$45,IF(H1446&gt;Summary!$V$3,Summary!$R$46,Summary!$R$45))*(B1446+30),0)</f>
        <v>35</v>
      </c>
      <c r="H1446">
        <f>IF(H1445&gt;Summary!$V$4,0,H1445+F1445)</f>
        <v>155036</v>
      </c>
      <c r="I1446" s="26">
        <f>DATE(YEAR(Summary!$V$2),MONTH(Summary!$V$2),DAY(Summary!$V$2)+INT(H1446/480))</f>
        <v>43912</v>
      </c>
      <c r="J1446" s="27">
        <f t="shared" si="23"/>
        <v>0.66388888888888886</v>
      </c>
    </row>
    <row r="1447" spans="1:10">
      <c r="A1447" t="str">
        <f>VLOOKUP(Summary!M1446,Summary!$P$13:$Q$24,2)</f>
        <v>B1700-lime</v>
      </c>
      <c r="B1447">
        <f>ROUND(NORMINV(Summary!M1448,VLOOKUP(A1447,Summary!$Q$13:$S$24,3,FALSE),VLOOKUP(A1447,Summary!$Q$13:$S$24,3,FALSE)/6),-1)</f>
        <v>320</v>
      </c>
      <c r="C1447" t="str">
        <f>IF(AND(H1447=0,C1446=Summary!$P$2),Summary!$Q$2,IF(AND(H1447=0,C1446=Summary!$Q$2),Summary!$R$2,C1446))</f>
        <v>Jared</v>
      </c>
      <c r="D1447" t="str">
        <f>IF(C1447=Summary!$P$26,VLOOKUP(Summary!M1454,Summary!$Q$26:$R$27,2),IF('Run Data'!C1447=Summary!$P$28,VLOOKUP(Summary!M1454,Summary!$Q$28:$R$29,2),VLOOKUP(Summary!M1454,Summary!$Q$30:$R$32,2)))</f>
        <v>Sprig 3</v>
      </c>
      <c r="E1447" t="str">
        <f>VLOOKUP(Summary!M1457,Summary!$P$42:$Q$43,2)</f>
        <v>86</v>
      </c>
      <c r="F1447">
        <f>IF(LEFT(A1447,3)="B60",20,IF(LEFT(A1447,3)="B12",30,25))+B1447*0.5+INT(Summary!M1460*20)</f>
        <v>195</v>
      </c>
      <c r="G1447">
        <f>ROUND(IF(OR(ISERROR(FIND(Summary!$P$89,CONCATENATE(C1447,D1447,E1447))),ISERROR(FIND(Summary!$Q$89,A1447))),Summary!$R$45,IF(H1447&gt;Summary!$V$3,Summary!$R$46,Summary!$R$45))*(B1447+30),0)</f>
        <v>42</v>
      </c>
      <c r="H1447">
        <f>IF(H1446&gt;Summary!$V$4,0,H1446+F1446)</f>
        <v>155210</v>
      </c>
      <c r="I1447" s="26">
        <f>DATE(YEAR(Summary!$V$2),MONTH(Summary!$V$2),DAY(Summary!$V$2)+INT(H1447/480))</f>
        <v>43913</v>
      </c>
      <c r="J1447" s="27">
        <f t="shared" si="23"/>
        <v>0.4513888888888889</v>
      </c>
    </row>
    <row r="1448" spans="1:10">
      <c r="A1448" t="str">
        <f>VLOOKUP(Summary!M1447,Summary!$P$13:$Q$24,2)</f>
        <v>B1200-plum</v>
      </c>
      <c r="B1448">
        <f>ROUND(NORMINV(Summary!M1449,VLOOKUP(A1448,Summary!$Q$13:$S$24,3,FALSE),VLOOKUP(A1448,Summary!$Q$13:$S$24,3,FALSE)/6),-1)</f>
        <v>410</v>
      </c>
      <c r="C1448" t="str">
        <f>IF(AND(H1448=0,C1447=Summary!$P$2),Summary!$Q$2,IF(AND(H1448=0,C1447=Summary!$Q$2),Summary!$R$2,C1447))</f>
        <v>Jared</v>
      </c>
      <c r="D1448" t="str">
        <f>IF(C1448=Summary!$P$26,VLOOKUP(Summary!M1455,Summary!$Q$26:$R$27,2),IF('Run Data'!C1448=Summary!$P$28,VLOOKUP(Summary!M1455,Summary!$Q$28:$R$29,2),VLOOKUP(Summary!M1455,Summary!$Q$30:$R$32,2)))</f>
        <v>Sprig 3</v>
      </c>
      <c r="E1448" t="str">
        <f>VLOOKUP(Summary!M1458,Summary!$P$42:$Q$43,2)</f>
        <v>86</v>
      </c>
      <c r="F1448">
        <f>IF(LEFT(A1448,3)="B60",20,IF(LEFT(A1448,3)="B12",30,25))+B1448*0.5+INT(Summary!M1461*20)</f>
        <v>248</v>
      </c>
      <c r="G1448">
        <f>ROUND(IF(OR(ISERROR(FIND(Summary!$P$89,CONCATENATE(C1448,D1448,E1448))),ISERROR(FIND(Summary!$Q$89,A1448))),Summary!$R$45,IF(H1448&gt;Summary!$V$3,Summary!$R$46,Summary!$R$45))*(B1448+30),0)</f>
        <v>4</v>
      </c>
      <c r="H1448">
        <f>IF(H1447&gt;Summary!$V$4,0,H1447+F1447)</f>
        <v>155405</v>
      </c>
      <c r="I1448" s="26">
        <f>DATE(YEAR(Summary!$V$2),MONTH(Summary!$V$2),DAY(Summary!$V$2)+INT(H1448/480))</f>
        <v>43913</v>
      </c>
      <c r="J1448" s="27">
        <f t="shared" si="23"/>
        <v>0.58680555555555558</v>
      </c>
    </row>
    <row r="1449" spans="1:10">
      <c r="A1449" t="str">
        <f>VLOOKUP(Summary!M1448,Summary!$P$13:$Q$24,2)</f>
        <v>B600-fire</v>
      </c>
      <c r="B1449">
        <f>ROUND(NORMINV(Summary!M1450,VLOOKUP(A1449,Summary!$Q$13:$S$24,3,FALSE),VLOOKUP(A1449,Summary!$Q$13:$S$24,3,FALSE)/6),-1)</f>
        <v>500</v>
      </c>
      <c r="C1449" t="str">
        <f>IF(AND(H1449=0,C1448=Summary!$P$2),Summary!$Q$2,IF(AND(H1449=0,C1448=Summary!$Q$2),Summary!$R$2,C1448))</f>
        <v>Jared</v>
      </c>
      <c r="D1449" t="str">
        <f>IF(C1449=Summary!$P$26,VLOOKUP(Summary!M1456,Summary!$Q$26:$R$27,2),IF('Run Data'!C1449=Summary!$P$28,VLOOKUP(Summary!M1456,Summary!$Q$28:$R$29,2),VLOOKUP(Summary!M1456,Summary!$Q$30:$R$32,2)))</f>
        <v>Sprig 2</v>
      </c>
      <c r="E1449" t="str">
        <f>VLOOKUP(Summary!M1459,Summary!$P$42:$Q$43,2)</f>
        <v>87b</v>
      </c>
      <c r="F1449">
        <f>IF(LEFT(A1449,3)="B60",20,IF(LEFT(A1449,3)="B12",30,25))+B1449*0.5+INT(Summary!M1462*20)</f>
        <v>271</v>
      </c>
      <c r="G1449">
        <f>ROUND(IF(OR(ISERROR(FIND(Summary!$P$89,CONCATENATE(C1449,D1449,E1449))),ISERROR(FIND(Summary!$Q$89,A1449))),Summary!$R$45,IF(H1449&gt;Summary!$V$3,Summary!$R$46,Summary!$R$45))*(B1449+30),0)</f>
        <v>5</v>
      </c>
      <c r="H1449">
        <f>IF(H1448&gt;Summary!$V$4,0,H1448+F1448)</f>
        <v>155653</v>
      </c>
      <c r="I1449" s="26">
        <f>DATE(YEAR(Summary!$V$2),MONTH(Summary!$V$2),DAY(Summary!$V$2)+INT(H1449/480))</f>
        <v>43914</v>
      </c>
      <c r="J1449" s="27">
        <f t="shared" si="23"/>
        <v>0.42569444444444443</v>
      </c>
    </row>
    <row r="1450" spans="1:10">
      <c r="A1450" t="str">
        <f>VLOOKUP(Summary!M1449,Summary!$P$13:$Q$24,2)</f>
        <v>B1200-plum</v>
      </c>
      <c r="B1450">
        <f>ROUND(NORMINV(Summary!M1451,VLOOKUP(A1450,Summary!$Q$13:$S$24,3,FALSE),VLOOKUP(A1450,Summary!$Q$13:$S$24,3,FALSE)/6),-1)</f>
        <v>480</v>
      </c>
      <c r="C1450" t="str">
        <f>IF(AND(H1450=0,C1449=Summary!$P$2),Summary!$Q$2,IF(AND(H1450=0,C1449=Summary!$Q$2),Summary!$R$2,C1449))</f>
        <v>Jared</v>
      </c>
      <c r="D1450" t="str">
        <f>IF(C1450=Summary!$P$26,VLOOKUP(Summary!M1457,Summary!$Q$26:$R$27,2),IF('Run Data'!C1450=Summary!$P$28,VLOOKUP(Summary!M1457,Summary!$Q$28:$R$29,2),VLOOKUP(Summary!M1457,Summary!$Q$30:$R$32,2)))</f>
        <v>Sprig 2</v>
      </c>
      <c r="E1450" t="str">
        <f>VLOOKUP(Summary!M1460,Summary!$P$42:$Q$43,2)</f>
        <v>86</v>
      </c>
      <c r="F1450">
        <f>IF(LEFT(A1450,3)="B60",20,IF(LEFT(A1450,3)="B12",30,25))+B1450*0.5+INT(Summary!M1463*20)</f>
        <v>283</v>
      </c>
      <c r="G1450">
        <f>ROUND(IF(OR(ISERROR(FIND(Summary!$P$89,CONCATENATE(C1450,D1450,E1450))),ISERROR(FIND(Summary!$Q$89,A1450))),Summary!$R$45,IF(H1450&gt;Summary!$V$3,Summary!$R$46,Summary!$R$45))*(B1450+30),0)</f>
        <v>5</v>
      </c>
      <c r="H1450">
        <f>IF(H1449&gt;Summary!$V$4,0,H1449+F1449)</f>
        <v>155924</v>
      </c>
      <c r="I1450" s="26">
        <f>DATE(YEAR(Summary!$V$2),MONTH(Summary!$V$2),DAY(Summary!$V$2)+INT(H1450/480))</f>
        <v>43914</v>
      </c>
      <c r="J1450" s="27">
        <f t="shared" si="23"/>
        <v>0.61388888888888882</v>
      </c>
    </row>
    <row r="1451" spans="1:10">
      <c r="A1451" t="str">
        <f>VLOOKUP(Summary!M1450,Summary!$P$13:$Q$24,2)</f>
        <v>B1700-lime</v>
      </c>
      <c r="B1451">
        <f>ROUND(NORMINV(Summary!M1452,VLOOKUP(A1451,Summary!$Q$13:$S$24,3,FALSE),VLOOKUP(A1451,Summary!$Q$13:$S$24,3,FALSE)/6),-1)</f>
        <v>570</v>
      </c>
      <c r="C1451" t="str">
        <f>IF(AND(H1451=0,C1450=Summary!$P$2),Summary!$Q$2,IF(AND(H1451=0,C1450=Summary!$Q$2),Summary!$R$2,C1450))</f>
        <v>Jared</v>
      </c>
      <c r="D1451" t="str">
        <f>IF(C1451=Summary!$P$26,VLOOKUP(Summary!M1458,Summary!$Q$26:$R$27,2),IF('Run Data'!C1451=Summary!$P$28,VLOOKUP(Summary!M1458,Summary!$Q$28:$R$29,2),VLOOKUP(Summary!M1458,Summary!$Q$30:$R$32,2)))</f>
        <v>Sprig 2</v>
      </c>
      <c r="E1451" t="str">
        <f>VLOOKUP(Summary!M1461,Summary!$P$42:$Q$43,2)</f>
        <v>86</v>
      </c>
      <c r="F1451">
        <f>IF(LEFT(A1451,3)="B60",20,IF(LEFT(A1451,3)="B12",30,25))+B1451*0.5+INT(Summary!M1464*20)</f>
        <v>329</v>
      </c>
      <c r="G1451">
        <f>ROUND(IF(OR(ISERROR(FIND(Summary!$P$89,CONCATENATE(C1451,D1451,E1451))),ISERROR(FIND(Summary!$Q$89,A1451))),Summary!$R$45,IF(H1451&gt;Summary!$V$3,Summary!$R$46,Summary!$R$45))*(B1451+30),0)</f>
        <v>72</v>
      </c>
      <c r="H1451">
        <f>IF(H1450&gt;Summary!$V$4,0,H1450+F1450)</f>
        <v>156207</v>
      </c>
      <c r="I1451" s="26">
        <f>DATE(YEAR(Summary!$V$2),MONTH(Summary!$V$2),DAY(Summary!$V$2)+INT(H1451/480))</f>
        <v>43915</v>
      </c>
      <c r="J1451" s="27">
        <f t="shared" si="23"/>
        <v>0.4770833333333333</v>
      </c>
    </row>
    <row r="1452" spans="1:10">
      <c r="A1452" t="str">
        <f>VLOOKUP(Summary!M1451,Summary!$P$13:$Q$24,2)</f>
        <v>B1200-lime</v>
      </c>
      <c r="B1452">
        <f>ROUND(NORMINV(Summary!M1453,VLOOKUP(A1452,Summary!$Q$13:$S$24,3,FALSE),VLOOKUP(A1452,Summary!$Q$13:$S$24,3,FALSE)/6),-1)</f>
        <v>900</v>
      </c>
      <c r="C1452" t="str">
        <f>IF(AND(H1452=0,C1451=Summary!$P$2),Summary!$Q$2,IF(AND(H1452=0,C1451=Summary!$Q$2),Summary!$R$2,C1451))</f>
        <v>Jared</v>
      </c>
      <c r="D1452" t="str">
        <f>IF(C1452=Summary!$P$26,VLOOKUP(Summary!M1459,Summary!$Q$26:$R$27,2),IF('Run Data'!C1452=Summary!$P$28,VLOOKUP(Summary!M1459,Summary!$Q$28:$R$29,2),VLOOKUP(Summary!M1459,Summary!$Q$30:$R$32,2)))</f>
        <v>Sprig 3</v>
      </c>
      <c r="E1452" t="str">
        <f>VLOOKUP(Summary!M1462,Summary!$P$42:$Q$43,2)</f>
        <v>86</v>
      </c>
      <c r="F1452">
        <f>IF(LEFT(A1452,3)="B60",20,IF(LEFT(A1452,3)="B12",30,25))+B1452*0.5+INT(Summary!M1465*20)</f>
        <v>489</v>
      </c>
      <c r="G1452">
        <f>ROUND(IF(OR(ISERROR(FIND(Summary!$P$89,CONCATENATE(C1452,D1452,E1452))),ISERROR(FIND(Summary!$Q$89,A1452))),Summary!$R$45,IF(H1452&gt;Summary!$V$3,Summary!$R$46,Summary!$R$45))*(B1452+30),0)</f>
        <v>9</v>
      </c>
      <c r="H1452">
        <f>IF(H1451&gt;Summary!$V$4,0,H1451+F1451)</f>
        <v>156536</v>
      </c>
      <c r="I1452" s="26">
        <f>DATE(YEAR(Summary!$V$2),MONTH(Summary!$V$2),DAY(Summary!$V$2)+INT(H1452/480))</f>
        <v>43916</v>
      </c>
      <c r="J1452" s="27">
        <f t="shared" si="23"/>
        <v>0.37222222222222223</v>
      </c>
    </row>
    <row r="1453" spans="1:10">
      <c r="A1453" t="str">
        <f>VLOOKUP(Summary!M1452,Summary!$P$13:$Q$24,2)</f>
        <v>B1700-lime</v>
      </c>
      <c r="B1453">
        <f>ROUND(NORMINV(Summary!M1454,VLOOKUP(A1453,Summary!$Q$13:$S$24,3,FALSE),VLOOKUP(A1453,Summary!$Q$13:$S$24,3,FALSE)/6),-1)</f>
        <v>490</v>
      </c>
      <c r="C1453" t="str">
        <f>IF(AND(H1453=0,C1452=Summary!$P$2),Summary!$Q$2,IF(AND(H1453=0,C1452=Summary!$Q$2),Summary!$R$2,C1452))</f>
        <v>Jared</v>
      </c>
      <c r="D1453" t="str">
        <f>IF(C1453=Summary!$P$26,VLOOKUP(Summary!M1460,Summary!$Q$26:$R$27,2),IF('Run Data'!C1453=Summary!$P$28,VLOOKUP(Summary!M1460,Summary!$Q$28:$R$29,2),VLOOKUP(Summary!M1460,Summary!$Q$30:$R$32,2)))</f>
        <v>Sprig 2</v>
      </c>
      <c r="E1453" t="str">
        <f>VLOOKUP(Summary!M1463,Summary!$P$42:$Q$43,2)</f>
        <v>86</v>
      </c>
      <c r="F1453">
        <f>IF(LEFT(A1453,3)="B60",20,IF(LEFT(A1453,3)="B12",30,25))+B1453*0.5+INT(Summary!M1466*20)</f>
        <v>289</v>
      </c>
      <c r="G1453">
        <f>ROUND(IF(OR(ISERROR(FIND(Summary!$P$89,CONCATENATE(C1453,D1453,E1453))),ISERROR(FIND(Summary!$Q$89,A1453))),Summary!$R$45,IF(H1453&gt;Summary!$V$3,Summary!$R$46,Summary!$R$45))*(B1453+30),0)</f>
        <v>62</v>
      </c>
      <c r="H1453">
        <f>IF(H1452&gt;Summary!$V$4,0,H1452+F1452)</f>
        <v>157025</v>
      </c>
      <c r="I1453" s="26">
        <f>DATE(YEAR(Summary!$V$2),MONTH(Summary!$V$2),DAY(Summary!$V$2)+INT(H1453/480))</f>
        <v>43917</v>
      </c>
      <c r="J1453" s="27">
        <f t="shared" si="23"/>
        <v>0.37847222222222227</v>
      </c>
    </row>
    <row r="1454" spans="1:10">
      <c r="A1454" t="str">
        <f>VLOOKUP(Summary!M1453,Summary!$P$13:$Q$24,2)</f>
        <v>B1700-plum</v>
      </c>
      <c r="B1454">
        <f>ROUND(NORMINV(Summary!M1455,VLOOKUP(A1454,Summary!$Q$13:$S$24,3,FALSE),VLOOKUP(A1454,Summary!$Q$13:$S$24,3,FALSE)/6),-1)</f>
        <v>370</v>
      </c>
      <c r="C1454" t="str">
        <f>IF(AND(H1454=0,C1453=Summary!$P$2),Summary!$Q$2,IF(AND(H1454=0,C1453=Summary!$Q$2),Summary!$R$2,C1453))</f>
        <v>Jared</v>
      </c>
      <c r="D1454" t="str">
        <f>IF(C1454=Summary!$P$26,VLOOKUP(Summary!M1461,Summary!$Q$26:$R$27,2),IF('Run Data'!C1454=Summary!$P$28,VLOOKUP(Summary!M1461,Summary!$Q$28:$R$29,2),VLOOKUP(Summary!M1461,Summary!$Q$30:$R$32,2)))</f>
        <v>Sprig 3</v>
      </c>
      <c r="E1454" t="str">
        <f>VLOOKUP(Summary!M1464,Summary!$P$42:$Q$43,2)</f>
        <v>87b</v>
      </c>
      <c r="F1454">
        <f>IF(LEFT(A1454,3)="B60",20,IF(LEFT(A1454,3)="B12",30,25))+B1454*0.5+INT(Summary!M1467*20)</f>
        <v>221</v>
      </c>
      <c r="G1454">
        <f>ROUND(IF(OR(ISERROR(FIND(Summary!$P$89,CONCATENATE(C1454,D1454,E1454))),ISERROR(FIND(Summary!$Q$89,A1454))),Summary!$R$45,IF(H1454&gt;Summary!$V$3,Summary!$R$46,Summary!$R$45))*(B1454+30),0)</f>
        <v>4</v>
      </c>
      <c r="H1454">
        <f>IF(H1453&gt;Summary!$V$4,0,H1453+F1453)</f>
        <v>157314</v>
      </c>
      <c r="I1454" s="26">
        <f>DATE(YEAR(Summary!$V$2),MONTH(Summary!$V$2),DAY(Summary!$V$2)+INT(H1454/480))</f>
        <v>43917</v>
      </c>
      <c r="J1454" s="27">
        <f t="shared" si="23"/>
        <v>0.57916666666666672</v>
      </c>
    </row>
    <row r="1455" spans="1:10">
      <c r="A1455" t="str">
        <f>VLOOKUP(Summary!M1454,Summary!$P$13:$Q$24,2)</f>
        <v>B1700-fire</v>
      </c>
      <c r="B1455">
        <f>ROUND(NORMINV(Summary!M1456,VLOOKUP(A1455,Summary!$Q$13:$S$24,3,FALSE),VLOOKUP(A1455,Summary!$Q$13:$S$24,3,FALSE)/6),-1)</f>
        <v>750</v>
      </c>
      <c r="C1455" t="str">
        <f>IF(AND(H1455=0,C1454=Summary!$P$2),Summary!$Q$2,IF(AND(H1455=0,C1454=Summary!$Q$2),Summary!$R$2,C1454))</f>
        <v>Jared</v>
      </c>
      <c r="D1455" t="str">
        <f>IF(C1455=Summary!$P$26,VLOOKUP(Summary!M1462,Summary!$Q$26:$R$27,2),IF('Run Data'!C1455=Summary!$P$28,VLOOKUP(Summary!M1462,Summary!$Q$28:$R$29,2),VLOOKUP(Summary!M1462,Summary!$Q$30:$R$32,2)))</f>
        <v>Sprig 1</v>
      </c>
      <c r="E1455" t="str">
        <f>VLOOKUP(Summary!M1465,Summary!$P$42:$Q$43,2)</f>
        <v>86</v>
      </c>
      <c r="F1455">
        <f>IF(LEFT(A1455,3)="B60",20,IF(LEFT(A1455,3)="B12",30,25))+B1455*0.5+INT(Summary!M1468*20)</f>
        <v>405</v>
      </c>
      <c r="G1455">
        <f>ROUND(IF(OR(ISERROR(FIND(Summary!$P$89,CONCATENATE(C1455,D1455,E1455))),ISERROR(FIND(Summary!$Q$89,A1455))),Summary!$R$45,IF(H1455&gt;Summary!$V$3,Summary!$R$46,Summary!$R$45))*(B1455+30),0)</f>
        <v>94</v>
      </c>
      <c r="H1455">
        <f>IF(H1454&gt;Summary!$V$4,0,H1454+F1454)</f>
        <v>157535</v>
      </c>
      <c r="I1455" s="26">
        <f>DATE(YEAR(Summary!$V$2),MONTH(Summary!$V$2),DAY(Summary!$V$2)+INT(H1455/480))</f>
        <v>43918</v>
      </c>
      <c r="J1455" s="27">
        <f t="shared" si="23"/>
        <v>0.39930555555555558</v>
      </c>
    </row>
    <row r="1456" spans="1:10">
      <c r="A1456" t="str">
        <f>VLOOKUP(Summary!M1455,Summary!$P$13:$Q$24,2)</f>
        <v>B1700-fire</v>
      </c>
      <c r="B1456">
        <f>ROUND(NORMINV(Summary!M1457,VLOOKUP(A1456,Summary!$Q$13:$S$24,3,FALSE),VLOOKUP(A1456,Summary!$Q$13:$S$24,3,FALSE)/6),-1)</f>
        <v>730</v>
      </c>
      <c r="C1456" t="str">
        <f>IF(AND(H1456=0,C1455=Summary!$P$2),Summary!$Q$2,IF(AND(H1456=0,C1455=Summary!$Q$2),Summary!$R$2,C1455))</f>
        <v>Jared</v>
      </c>
      <c r="D1456" t="str">
        <f>IF(C1456=Summary!$P$26,VLOOKUP(Summary!M1463,Summary!$Q$26:$R$27,2),IF('Run Data'!C1456=Summary!$P$28,VLOOKUP(Summary!M1463,Summary!$Q$28:$R$29,2),VLOOKUP(Summary!M1463,Summary!$Q$30:$R$32,2)))</f>
        <v>Sprig 3</v>
      </c>
      <c r="E1456" t="str">
        <f>VLOOKUP(Summary!M1466,Summary!$P$42:$Q$43,2)</f>
        <v>87b</v>
      </c>
      <c r="F1456">
        <f>IF(LEFT(A1456,3)="B60",20,IF(LEFT(A1456,3)="B12",30,25))+B1456*0.5+INT(Summary!M1469*20)</f>
        <v>396</v>
      </c>
      <c r="G1456">
        <f>ROUND(IF(OR(ISERROR(FIND(Summary!$P$89,CONCATENATE(C1456,D1456,E1456))),ISERROR(FIND(Summary!$Q$89,A1456))),Summary!$R$45,IF(H1456&gt;Summary!$V$3,Summary!$R$46,Summary!$R$45))*(B1456+30),0)</f>
        <v>8</v>
      </c>
      <c r="H1456">
        <f>IF(H1455&gt;Summary!$V$4,0,H1455+F1455)</f>
        <v>157940</v>
      </c>
      <c r="I1456" s="26">
        <f>DATE(YEAR(Summary!$V$2),MONTH(Summary!$V$2),DAY(Summary!$V$2)+INT(H1456/480))</f>
        <v>43919</v>
      </c>
      <c r="J1456" s="27">
        <f t="shared" si="23"/>
        <v>0.34722222222222227</v>
      </c>
    </row>
    <row r="1457" spans="1:10">
      <c r="A1457" t="str">
        <f>VLOOKUP(Summary!M1456,Summary!$P$13:$Q$24,2)</f>
        <v>B1200-fire</v>
      </c>
      <c r="B1457">
        <f>ROUND(NORMINV(Summary!M1458,VLOOKUP(A1457,Summary!$Q$13:$S$24,3,FALSE),VLOOKUP(A1457,Summary!$Q$13:$S$24,3,FALSE)/6),-1)</f>
        <v>1150</v>
      </c>
      <c r="C1457" t="str">
        <f>IF(AND(H1457=0,C1456=Summary!$P$2),Summary!$Q$2,IF(AND(H1457=0,C1456=Summary!$Q$2),Summary!$R$2,C1456))</f>
        <v>Jared</v>
      </c>
      <c r="D1457" t="str">
        <f>IF(C1457=Summary!$P$26,VLOOKUP(Summary!M1464,Summary!$Q$26:$R$27,2),IF('Run Data'!C1457=Summary!$P$28,VLOOKUP(Summary!M1464,Summary!$Q$28:$R$29,2),VLOOKUP(Summary!M1464,Summary!$Q$30:$R$32,2)))</f>
        <v>Sprig 3</v>
      </c>
      <c r="E1457" t="str">
        <f>VLOOKUP(Summary!M1467,Summary!$P$42:$Q$43,2)</f>
        <v>86</v>
      </c>
      <c r="F1457">
        <f>IF(LEFT(A1457,3)="B60",20,IF(LEFT(A1457,3)="B12",30,25))+B1457*0.5+INT(Summary!M1470*20)</f>
        <v>624</v>
      </c>
      <c r="G1457">
        <f>ROUND(IF(OR(ISERROR(FIND(Summary!$P$89,CONCATENATE(C1457,D1457,E1457))),ISERROR(FIND(Summary!$Q$89,A1457))),Summary!$R$45,IF(H1457&gt;Summary!$V$3,Summary!$R$46,Summary!$R$45))*(B1457+30),0)</f>
        <v>12</v>
      </c>
      <c r="H1457">
        <f>IF(H1456&gt;Summary!$V$4,0,H1456+F1456)</f>
        <v>158336</v>
      </c>
      <c r="I1457" s="26">
        <f>DATE(YEAR(Summary!$V$2),MONTH(Summary!$V$2),DAY(Summary!$V$2)+INT(H1457/480))</f>
        <v>43919</v>
      </c>
      <c r="J1457" s="27">
        <f t="shared" si="23"/>
        <v>0.62222222222222223</v>
      </c>
    </row>
    <row r="1458" spans="1:10">
      <c r="A1458" t="str">
        <f>VLOOKUP(Summary!M1457,Summary!$P$13:$Q$24,2)</f>
        <v>B1200-sky</v>
      </c>
      <c r="B1458">
        <f>ROUND(NORMINV(Summary!M1459,VLOOKUP(A1458,Summary!$Q$13:$S$24,3,FALSE),VLOOKUP(A1458,Summary!$Q$13:$S$24,3,FALSE)/6),-1)</f>
        <v>1700</v>
      </c>
      <c r="C1458" t="str">
        <f>IF(AND(H1458=0,C1457=Summary!$P$2),Summary!$Q$2,IF(AND(H1458=0,C1457=Summary!$Q$2),Summary!$R$2,C1457))</f>
        <v>Jared</v>
      </c>
      <c r="D1458" t="str">
        <f>IF(C1458=Summary!$P$26,VLOOKUP(Summary!M1465,Summary!$Q$26:$R$27,2),IF('Run Data'!C1458=Summary!$P$28,VLOOKUP(Summary!M1465,Summary!$Q$28:$R$29,2),VLOOKUP(Summary!M1465,Summary!$Q$30:$R$32,2)))</f>
        <v>Sprig 2</v>
      </c>
      <c r="E1458" t="str">
        <f>VLOOKUP(Summary!M1468,Summary!$P$42:$Q$43,2)</f>
        <v>86</v>
      </c>
      <c r="F1458">
        <f>IF(LEFT(A1458,3)="B60",20,IF(LEFT(A1458,3)="B12",30,25))+B1458*0.5+INT(Summary!M1471*20)</f>
        <v>895</v>
      </c>
      <c r="G1458">
        <f>ROUND(IF(OR(ISERROR(FIND(Summary!$P$89,CONCATENATE(C1458,D1458,E1458))),ISERROR(FIND(Summary!$Q$89,A1458))),Summary!$R$45,IF(H1458&gt;Summary!$V$3,Summary!$R$46,Summary!$R$45))*(B1458+30),0)</f>
        <v>17</v>
      </c>
      <c r="H1458">
        <f>IF(H1457&gt;Summary!$V$4,0,H1457+F1457)</f>
        <v>158960</v>
      </c>
      <c r="I1458" s="26">
        <f>DATE(YEAR(Summary!$V$2),MONTH(Summary!$V$2),DAY(Summary!$V$2)+INT(H1458/480))</f>
        <v>43921</v>
      </c>
      <c r="J1458" s="27">
        <f t="shared" si="23"/>
        <v>0.3888888888888889</v>
      </c>
    </row>
    <row r="1459" spans="1:10">
      <c r="A1459" t="str">
        <f>VLOOKUP(Summary!M1458,Summary!$P$13:$Q$24,2)</f>
        <v>B1200-sky</v>
      </c>
      <c r="B1459">
        <f>ROUND(NORMINV(Summary!M1460,VLOOKUP(A1459,Summary!$Q$13:$S$24,3,FALSE),VLOOKUP(A1459,Summary!$Q$13:$S$24,3,FALSE)/6),-1)</f>
        <v>1220</v>
      </c>
      <c r="C1459" t="str">
        <f>IF(AND(H1459=0,C1458=Summary!$P$2),Summary!$Q$2,IF(AND(H1459=0,C1458=Summary!$Q$2),Summary!$R$2,C1458))</f>
        <v>Jared</v>
      </c>
      <c r="D1459" t="str">
        <f>IF(C1459=Summary!$P$26,VLOOKUP(Summary!M1466,Summary!$Q$26:$R$27,2),IF('Run Data'!C1459=Summary!$P$28,VLOOKUP(Summary!M1466,Summary!$Q$28:$R$29,2),VLOOKUP(Summary!M1466,Summary!$Q$30:$R$32,2)))</f>
        <v>Sprig 3</v>
      </c>
      <c r="E1459" t="str">
        <f>VLOOKUP(Summary!M1469,Summary!$P$42:$Q$43,2)</f>
        <v>86</v>
      </c>
      <c r="F1459">
        <f>IF(LEFT(A1459,3)="B60",20,IF(LEFT(A1459,3)="B12",30,25))+B1459*0.5+INT(Summary!M1472*20)</f>
        <v>640</v>
      </c>
      <c r="G1459">
        <f>ROUND(IF(OR(ISERROR(FIND(Summary!$P$89,CONCATENATE(C1459,D1459,E1459))),ISERROR(FIND(Summary!$Q$89,A1459))),Summary!$R$45,IF(H1459&gt;Summary!$V$3,Summary!$R$46,Summary!$R$45))*(B1459+30),0)</f>
        <v>13</v>
      </c>
      <c r="H1459">
        <f>IF(H1458&gt;Summary!$V$4,0,H1458+F1458)</f>
        <v>159855</v>
      </c>
      <c r="I1459" s="26">
        <f>DATE(YEAR(Summary!$V$2),MONTH(Summary!$V$2),DAY(Summary!$V$2)+INT(H1459/480))</f>
        <v>43923</v>
      </c>
      <c r="J1459" s="27">
        <f t="shared" si="23"/>
        <v>0.34375</v>
      </c>
    </row>
    <row r="1460" spans="1:10">
      <c r="A1460" t="str">
        <f>VLOOKUP(Summary!M1459,Summary!$P$13:$Q$24,2)</f>
        <v>B1700-lime</v>
      </c>
      <c r="B1460">
        <f>ROUND(NORMINV(Summary!M1461,VLOOKUP(A1460,Summary!$Q$13:$S$24,3,FALSE),VLOOKUP(A1460,Summary!$Q$13:$S$24,3,FALSE)/6),-1)</f>
        <v>430</v>
      </c>
      <c r="C1460" t="str">
        <f>IF(AND(H1460=0,C1459=Summary!$P$2),Summary!$Q$2,IF(AND(H1460=0,C1459=Summary!$Q$2),Summary!$R$2,C1459))</f>
        <v>Jared</v>
      </c>
      <c r="D1460" t="str">
        <f>IF(C1460=Summary!$P$26,VLOOKUP(Summary!M1467,Summary!$Q$26:$R$27,2),IF('Run Data'!C1460=Summary!$P$28,VLOOKUP(Summary!M1467,Summary!$Q$28:$R$29,2),VLOOKUP(Summary!M1467,Summary!$Q$30:$R$32,2)))</f>
        <v>Sprig 2</v>
      </c>
      <c r="E1460" t="str">
        <f>VLOOKUP(Summary!M1470,Summary!$P$42:$Q$43,2)</f>
        <v>87b</v>
      </c>
      <c r="F1460">
        <f>IF(LEFT(A1460,3)="B60",20,IF(LEFT(A1460,3)="B12",30,25))+B1460*0.5+INT(Summary!M1473*20)</f>
        <v>258</v>
      </c>
      <c r="G1460">
        <f>ROUND(IF(OR(ISERROR(FIND(Summary!$P$89,CONCATENATE(C1460,D1460,E1460))),ISERROR(FIND(Summary!$Q$89,A1460))),Summary!$R$45,IF(H1460&gt;Summary!$V$3,Summary!$R$46,Summary!$R$45))*(B1460+30),0)</f>
        <v>5</v>
      </c>
      <c r="H1460">
        <f>IF(H1459&gt;Summary!$V$4,0,H1459+F1459)</f>
        <v>160495</v>
      </c>
      <c r="I1460" s="26">
        <f>DATE(YEAR(Summary!$V$2),MONTH(Summary!$V$2),DAY(Summary!$V$2)+INT(H1460/480))</f>
        <v>43924</v>
      </c>
      <c r="J1460" s="27">
        <f t="shared" si="23"/>
        <v>0.4548611111111111</v>
      </c>
    </row>
    <row r="1461" spans="1:10">
      <c r="A1461" t="str">
        <f>VLOOKUP(Summary!M1460,Summary!$P$13:$Q$24,2)</f>
        <v>B1200-fire</v>
      </c>
      <c r="B1461">
        <f>ROUND(NORMINV(Summary!M1462,VLOOKUP(A1461,Summary!$Q$13:$S$24,3,FALSE),VLOOKUP(A1461,Summary!$Q$13:$S$24,3,FALSE)/6),-1)</f>
        <v>920</v>
      </c>
      <c r="C1461" t="str">
        <f>IF(AND(H1461=0,C1460=Summary!$P$2),Summary!$Q$2,IF(AND(H1461=0,C1460=Summary!$Q$2),Summary!$R$2,C1460))</f>
        <v>Jared</v>
      </c>
      <c r="D1461" t="str">
        <f>IF(C1461=Summary!$P$26,VLOOKUP(Summary!M1468,Summary!$Q$26:$R$27,2),IF('Run Data'!C1461=Summary!$P$28,VLOOKUP(Summary!M1468,Summary!$Q$28:$R$29,2),VLOOKUP(Summary!M1468,Summary!$Q$30:$R$32,2)))</f>
        <v>Sprig 2</v>
      </c>
      <c r="E1461" t="str">
        <f>VLOOKUP(Summary!M1471,Summary!$P$42:$Q$43,2)</f>
        <v>86</v>
      </c>
      <c r="F1461">
        <f>IF(LEFT(A1461,3)="B60",20,IF(LEFT(A1461,3)="B12",30,25))+B1461*0.5+INT(Summary!M1474*20)</f>
        <v>504</v>
      </c>
      <c r="G1461">
        <f>ROUND(IF(OR(ISERROR(FIND(Summary!$P$89,CONCATENATE(C1461,D1461,E1461))),ISERROR(FIND(Summary!$Q$89,A1461))),Summary!$R$45,IF(H1461&gt;Summary!$V$3,Summary!$R$46,Summary!$R$45))*(B1461+30),0)</f>
        <v>10</v>
      </c>
      <c r="H1461">
        <f>IF(H1460&gt;Summary!$V$4,0,H1460+F1460)</f>
        <v>160753</v>
      </c>
      <c r="I1461" s="26">
        <f>DATE(YEAR(Summary!$V$2),MONTH(Summary!$V$2),DAY(Summary!$V$2)+INT(H1461/480))</f>
        <v>43924</v>
      </c>
      <c r="J1461" s="27">
        <f t="shared" si="23"/>
        <v>0.63402777777777775</v>
      </c>
    </row>
    <row r="1462" spans="1:10">
      <c r="A1462" t="str">
        <f>VLOOKUP(Summary!M1461,Summary!$P$13:$Q$24,2)</f>
        <v>B1200-lime</v>
      </c>
      <c r="B1462">
        <f>ROUND(NORMINV(Summary!M1463,VLOOKUP(A1462,Summary!$Q$13:$S$24,3,FALSE),VLOOKUP(A1462,Summary!$Q$13:$S$24,3,FALSE)/6),-1)</f>
        <v>850</v>
      </c>
      <c r="C1462" t="str">
        <f>IF(AND(H1462=0,C1461=Summary!$P$2),Summary!$Q$2,IF(AND(H1462=0,C1461=Summary!$Q$2),Summary!$R$2,C1461))</f>
        <v>Jared</v>
      </c>
      <c r="D1462" t="str">
        <f>IF(C1462=Summary!$P$26,VLOOKUP(Summary!M1469,Summary!$Q$26:$R$27,2),IF('Run Data'!C1462=Summary!$P$28,VLOOKUP(Summary!M1469,Summary!$Q$28:$R$29,2),VLOOKUP(Summary!M1469,Summary!$Q$30:$R$32,2)))</f>
        <v>Sprig 2</v>
      </c>
      <c r="E1462" t="str">
        <f>VLOOKUP(Summary!M1472,Summary!$P$42:$Q$43,2)</f>
        <v>86</v>
      </c>
      <c r="F1462">
        <f>IF(LEFT(A1462,3)="B60",20,IF(LEFT(A1462,3)="B12",30,25))+B1462*0.5+INT(Summary!M1475*20)</f>
        <v>470</v>
      </c>
      <c r="G1462">
        <f>ROUND(IF(OR(ISERROR(FIND(Summary!$P$89,CONCATENATE(C1462,D1462,E1462))),ISERROR(FIND(Summary!$Q$89,A1462))),Summary!$R$45,IF(H1462&gt;Summary!$V$3,Summary!$R$46,Summary!$R$45))*(B1462+30),0)</f>
        <v>9</v>
      </c>
      <c r="H1462">
        <f>IF(H1461&gt;Summary!$V$4,0,H1461+F1461)</f>
        <v>161257</v>
      </c>
      <c r="I1462" s="26">
        <f>DATE(YEAR(Summary!$V$2),MONTH(Summary!$V$2),DAY(Summary!$V$2)+INT(H1462/480))</f>
        <v>43925</v>
      </c>
      <c r="J1462" s="27">
        <f t="shared" si="23"/>
        <v>0.65069444444444446</v>
      </c>
    </row>
    <row r="1463" spans="1:10">
      <c r="A1463" t="str">
        <f>VLOOKUP(Summary!M1462,Summary!$P$13:$Q$24,2)</f>
        <v>B600-sky</v>
      </c>
      <c r="B1463">
        <f>ROUND(NORMINV(Summary!M1464,VLOOKUP(A1463,Summary!$Q$13:$S$24,3,FALSE),VLOOKUP(A1463,Summary!$Q$13:$S$24,3,FALSE)/6),-1)</f>
        <v>640</v>
      </c>
      <c r="C1463" t="str">
        <f>IF(AND(H1463=0,C1462=Summary!$P$2),Summary!$Q$2,IF(AND(H1463=0,C1462=Summary!$Q$2),Summary!$R$2,C1462))</f>
        <v>Jared</v>
      </c>
      <c r="D1463" t="str">
        <f>IF(C1463=Summary!$P$26,VLOOKUP(Summary!M1470,Summary!$Q$26:$R$27,2),IF('Run Data'!C1463=Summary!$P$28,VLOOKUP(Summary!M1470,Summary!$Q$28:$R$29,2),VLOOKUP(Summary!M1470,Summary!$Q$30:$R$32,2)))</f>
        <v>Sprig 3</v>
      </c>
      <c r="E1463" t="str">
        <f>VLOOKUP(Summary!M1473,Summary!$P$42:$Q$43,2)</f>
        <v>87b</v>
      </c>
      <c r="F1463">
        <f>IF(LEFT(A1463,3)="B60",20,IF(LEFT(A1463,3)="B12",30,25))+B1463*0.5+INT(Summary!M1476*20)</f>
        <v>350</v>
      </c>
      <c r="G1463">
        <f>ROUND(IF(OR(ISERROR(FIND(Summary!$P$89,CONCATENATE(C1463,D1463,E1463))),ISERROR(FIND(Summary!$Q$89,A1463))),Summary!$R$45,IF(H1463&gt;Summary!$V$3,Summary!$R$46,Summary!$R$45))*(B1463+30),0)</f>
        <v>7</v>
      </c>
      <c r="H1463">
        <f>IF(H1462&gt;Summary!$V$4,0,H1462+F1462)</f>
        <v>161727</v>
      </c>
      <c r="I1463" s="26">
        <f>DATE(YEAR(Summary!$V$2),MONTH(Summary!$V$2),DAY(Summary!$V$2)+INT(H1463/480))</f>
        <v>43926</v>
      </c>
      <c r="J1463" s="27">
        <f t="shared" si="23"/>
        <v>0.64374999999999993</v>
      </c>
    </row>
    <row r="1464" spans="1:10">
      <c r="A1464" t="str">
        <f>VLOOKUP(Summary!M1463,Summary!$P$13:$Q$24,2)</f>
        <v>B1200-lime</v>
      </c>
      <c r="B1464">
        <f>ROUND(NORMINV(Summary!M1465,VLOOKUP(A1464,Summary!$Q$13:$S$24,3,FALSE),VLOOKUP(A1464,Summary!$Q$13:$S$24,3,FALSE)/6),-1)</f>
        <v>790</v>
      </c>
      <c r="C1464" t="str">
        <f>IF(AND(H1464=0,C1463=Summary!$P$2),Summary!$Q$2,IF(AND(H1464=0,C1463=Summary!$Q$2),Summary!$R$2,C1463))</f>
        <v>Jared</v>
      </c>
      <c r="D1464" t="str">
        <f>IF(C1464=Summary!$P$26,VLOOKUP(Summary!M1471,Summary!$Q$26:$R$27,2),IF('Run Data'!C1464=Summary!$P$28,VLOOKUP(Summary!M1471,Summary!$Q$28:$R$29,2),VLOOKUP(Summary!M1471,Summary!$Q$30:$R$32,2)))</f>
        <v>Sprig 3</v>
      </c>
      <c r="E1464" t="str">
        <f>VLOOKUP(Summary!M1474,Summary!$P$42:$Q$43,2)</f>
        <v>86</v>
      </c>
      <c r="F1464">
        <f>IF(LEFT(A1464,3)="B60",20,IF(LEFT(A1464,3)="B12",30,25))+B1464*0.5+INT(Summary!M1477*20)</f>
        <v>435</v>
      </c>
      <c r="G1464">
        <f>ROUND(IF(OR(ISERROR(FIND(Summary!$P$89,CONCATENATE(C1464,D1464,E1464))),ISERROR(FIND(Summary!$Q$89,A1464))),Summary!$R$45,IF(H1464&gt;Summary!$V$3,Summary!$R$46,Summary!$R$45))*(B1464+30),0)</f>
        <v>8</v>
      </c>
      <c r="H1464">
        <f>IF(H1463&gt;Summary!$V$4,0,H1463+F1463)</f>
        <v>162077</v>
      </c>
      <c r="I1464" s="26">
        <f>DATE(YEAR(Summary!$V$2),MONTH(Summary!$V$2),DAY(Summary!$V$2)+INT(H1464/480))</f>
        <v>43927</v>
      </c>
      <c r="J1464" s="27">
        <f t="shared" si="23"/>
        <v>0.55347222222222225</v>
      </c>
    </row>
    <row r="1465" spans="1:10">
      <c r="A1465" t="str">
        <f>VLOOKUP(Summary!M1464,Summary!$P$13:$Q$24,2)</f>
        <v>B1700-lime</v>
      </c>
      <c r="B1465">
        <f>ROUND(NORMINV(Summary!M1466,VLOOKUP(A1465,Summary!$Q$13:$S$24,3,FALSE),VLOOKUP(A1465,Summary!$Q$13:$S$24,3,FALSE)/6),-1)</f>
        <v>530</v>
      </c>
      <c r="C1465" t="str">
        <f>IF(AND(H1465=0,C1464=Summary!$P$2),Summary!$Q$2,IF(AND(H1465=0,C1464=Summary!$Q$2),Summary!$R$2,C1464))</f>
        <v>Jared</v>
      </c>
      <c r="D1465" t="str">
        <f>IF(C1465=Summary!$P$26,VLOOKUP(Summary!M1472,Summary!$Q$26:$R$27,2),IF('Run Data'!C1465=Summary!$P$28,VLOOKUP(Summary!M1472,Summary!$Q$28:$R$29,2),VLOOKUP(Summary!M1472,Summary!$Q$30:$R$32,2)))</f>
        <v>Sprig 1</v>
      </c>
      <c r="E1465" t="str">
        <f>VLOOKUP(Summary!M1475,Summary!$P$42:$Q$43,2)</f>
        <v>86</v>
      </c>
      <c r="F1465">
        <f>IF(LEFT(A1465,3)="B60",20,IF(LEFT(A1465,3)="B12",30,25))+B1465*0.5+INT(Summary!M1478*20)</f>
        <v>306</v>
      </c>
      <c r="G1465">
        <f>ROUND(IF(OR(ISERROR(FIND(Summary!$P$89,CONCATENATE(C1465,D1465,E1465))),ISERROR(FIND(Summary!$Q$89,A1465))),Summary!$R$45,IF(H1465&gt;Summary!$V$3,Summary!$R$46,Summary!$R$45))*(B1465+30),0)</f>
        <v>67</v>
      </c>
      <c r="H1465">
        <f>IF(H1464&gt;Summary!$V$4,0,H1464+F1464)</f>
        <v>162512</v>
      </c>
      <c r="I1465" s="26">
        <f>DATE(YEAR(Summary!$V$2),MONTH(Summary!$V$2),DAY(Summary!$V$2)+INT(H1465/480))</f>
        <v>43928</v>
      </c>
      <c r="J1465" s="27">
        <f t="shared" si="23"/>
        <v>0.52222222222222225</v>
      </c>
    </row>
    <row r="1466" spans="1:10">
      <c r="A1466" t="str">
        <f>VLOOKUP(Summary!M1465,Summary!$P$13:$Q$24,2)</f>
        <v>B1200-fire</v>
      </c>
      <c r="B1466">
        <f>ROUND(NORMINV(Summary!M1467,VLOOKUP(A1466,Summary!$Q$13:$S$24,3,FALSE),VLOOKUP(A1466,Summary!$Q$13:$S$24,3,FALSE)/6),-1)</f>
        <v>1240</v>
      </c>
      <c r="C1466" t="str">
        <f>IF(AND(H1466=0,C1465=Summary!$P$2),Summary!$Q$2,IF(AND(H1466=0,C1465=Summary!$Q$2),Summary!$R$2,C1465))</f>
        <v>Jared</v>
      </c>
      <c r="D1466" t="str">
        <f>IF(C1466=Summary!$P$26,VLOOKUP(Summary!M1473,Summary!$Q$26:$R$27,2),IF('Run Data'!C1466=Summary!$P$28,VLOOKUP(Summary!M1473,Summary!$Q$28:$R$29,2),VLOOKUP(Summary!M1473,Summary!$Q$30:$R$32,2)))</f>
        <v>Sprig 3</v>
      </c>
      <c r="E1466" t="str">
        <f>VLOOKUP(Summary!M1476,Summary!$P$42:$Q$43,2)</f>
        <v>86</v>
      </c>
      <c r="F1466">
        <f>IF(LEFT(A1466,3)="B60",20,IF(LEFT(A1466,3)="B12",30,25))+B1466*0.5+INT(Summary!M1479*20)</f>
        <v>658</v>
      </c>
      <c r="G1466">
        <f>ROUND(IF(OR(ISERROR(FIND(Summary!$P$89,CONCATENATE(C1466,D1466,E1466))),ISERROR(FIND(Summary!$Q$89,A1466))),Summary!$R$45,IF(H1466&gt;Summary!$V$3,Summary!$R$46,Summary!$R$45))*(B1466+30),0)</f>
        <v>13</v>
      </c>
      <c r="H1466">
        <f>IF(H1465&gt;Summary!$V$4,0,H1465+F1465)</f>
        <v>162818</v>
      </c>
      <c r="I1466" s="26">
        <f>DATE(YEAR(Summary!$V$2),MONTH(Summary!$V$2),DAY(Summary!$V$2)+INT(H1466/480))</f>
        <v>43929</v>
      </c>
      <c r="J1466" s="27">
        <f t="shared" si="23"/>
        <v>0.40138888888888885</v>
      </c>
    </row>
    <row r="1467" spans="1:10">
      <c r="A1467" t="str">
        <f>VLOOKUP(Summary!M1466,Summary!$P$13:$Q$24,2)</f>
        <v>B1700-lime</v>
      </c>
      <c r="B1467">
        <f>ROUND(NORMINV(Summary!M1468,VLOOKUP(A1467,Summary!$Q$13:$S$24,3,FALSE),VLOOKUP(A1467,Summary!$Q$13:$S$24,3,FALSE)/6),-1)</f>
        <v>360</v>
      </c>
      <c r="C1467" t="str">
        <f>IF(AND(H1467=0,C1466=Summary!$P$2),Summary!$Q$2,IF(AND(H1467=0,C1466=Summary!$Q$2),Summary!$R$2,C1466))</f>
        <v>Jared</v>
      </c>
      <c r="D1467" t="str">
        <f>IF(C1467=Summary!$P$26,VLOOKUP(Summary!M1474,Summary!$Q$26:$R$27,2),IF('Run Data'!C1467=Summary!$P$28,VLOOKUP(Summary!M1474,Summary!$Q$28:$R$29,2),VLOOKUP(Summary!M1474,Summary!$Q$30:$R$32,2)))</f>
        <v>Sprig 3</v>
      </c>
      <c r="E1467" t="str">
        <f>VLOOKUP(Summary!M1477,Summary!$P$42:$Q$43,2)</f>
        <v>86</v>
      </c>
      <c r="F1467">
        <f>IF(LEFT(A1467,3)="B60",20,IF(LEFT(A1467,3)="B12",30,25))+B1467*0.5+INT(Summary!M1480*20)</f>
        <v>223</v>
      </c>
      <c r="G1467">
        <f>ROUND(IF(OR(ISERROR(FIND(Summary!$P$89,CONCATENATE(C1467,D1467,E1467))),ISERROR(FIND(Summary!$Q$89,A1467))),Summary!$R$45,IF(H1467&gt;Summary!$V$3,Summary!$R$46,Summary!$R$45))*(B1467+30),0)</f>
        <v>47</v>
      </c>
      <c r="H1467">
        <f>IF(H1466&gt;Summary!$V$4,0,H1466+F1466)</f>
        <v>163476</v>
      </c>
      <c r="I1467" s="26">
        <f>DATE(YEAR(Summary!$V$2),MONTH(Summary!$V$2),DAY(Summary!$V$2)+INT(H1467/480))</f>
        <v>43930</v>
      </c>
      <c r="J1467" s="27">
        <f t="shared" si="23"/>
        <v>0.52500000000000002</v>
      </c>
    </row>
    <row r="1468" spans="1:10">
      <c r="A1468" t="str">
        <f>VLOOKUP(Summary!M1467,Summary!$P$13:$Q$24,2)</f>
        <v>B1200-lime</v>
      </c>
      <c r="B1468">
        <f>ROUND(NORMINV(Summary!M1469,VLOOKUP(A1468,Summary!$Q$13:$S$24,3,FALSE),VLOOKUP(A1468,Summary!$Q$13:$S$24,3,FALSE)/6),-1)</f>
        <v>740</v>
      </c>
      <c r="C1468" t="str">
        <f>IF(AND(H1468=0,C1467=Summary!$P$2),Summary!$Q$2,IF(AND(H1468=0,C1467=Summary!$Q$2),Summary!$R$2,C1467))</f>
        <v>Jared</v>
      </c>
      <c r="D1468" t="str">
        <f>IF(C1468=Summary!$P$26,VLOOKUP(Summary!M1475,Summary!$Q$26:$R$27,2),IF('Run Data'!C1468=Summary!$P$28,VLOOKUP(Summary!M1475,Summary!$Q$28:$R$29,2),VLOOKUP(Summary!M1475,Summary!$Q$30:$R$32,2)))</f>
        <v>Sprig 3</v>
      </c>
      <c r="E1468" t="str">
        <f>VLOOKUP(Summary!M1478,Summary!$P$42:$Q$43,2)</f>
        <v>86</v>
      </c>
      <c r="F1468">
        <f>IF(LEFT(A1468,3)="B60",20,IF(LEFT(A1468,3)="B12",30,25))+B1468*0.5+INT(Summary!M1481*20)</f>
        <v>406</v>
      </c>
      <c r="G1468">
        <f>ROUND(IF(OR(ISERROR(FIND(Summary!$P$89,CONCATENATE(C1468,D1468,E1468))),ISERROR(FIND(Summary!$Q$89,A1468))),Summary!$R$45,IF(H1468&gt;Summary!$V$3,Summary!$R$46,Summary!$R$45))*(B1468+30),0)</f>
        <v>8</v>
      </c>
      <c r="H1468">
        <f>IF(H1467&gt;Summary!$V$4,0,H1467+F1467)</f>
        <v>163699</v>
      </c>
      <c r="I1468" s="26">
        <f>DATE(YEAR(Summary!$V$2),MONTH(Summary!$V$2),DAY(Summary!$V$2)+INT(H1468/480))</f>
        <v>43931</v>
      </c>
      <c r="J1468" s="27">
        <f t="shared" si="23"/>
        <v>0.34652777777777777</v>
      </c>
    </row>
    <row r="1469" spans="1:10">
      <c r="A1469" t="str">
        <f>VLOOKUP(Summary!M1468,Summary!$P$13:$Q$24,2)</f>
        <v>B1200-plum</v>
      </c>
      <c r="B1469">
        <f>ROUND(NORMINV(Summary!M1470,VLOOKUP(A1469,Summary!$Q$13:$S$24,3,FALSE),VLOOKUP(A1469,Summary!$Q$13:$S$24,3,FALSE)/6),-1)</f>
        <v>580</v>
      </c>
      <c r="C1469" t="str">
        <f>IF(AND(H1469=0,C1468=Summary!$P$2),Summary!$Q$2,IF(AND(H1469=0,C1468=Summary!$Q$2),Summary!$R$2,C1468))</f>
        <v>Jared</v>
      </c>
      <c r="D1469" t="str">
        <f>IF(C1469=Summary!$P$26,VLOOKUP(Summary!M1476,Summary!$Q$26:$R$27,2),IF('Run Data'!C1469=Summary!$P$28,VLOOKUP(Summary!M1476,Summary!$Q$28:$R$29,2),VLOOKUP(Summary!M1476,Summary!$Q$30:$R$32,2)))</f>
        <v>Sprig 2</v>
      </c>
      <c r="E1469" t="str">
        <f>VLOOKUP(Summary!M1479,Summary!$P$42:$Q$43,2)</f>
        <v>86</v>
      </c>
      <c r="F1469">
        <f>IF(LEFT(A1469,3)="B60",20,IF(LEFT(A1469,3)="B12",30,25))+B1469*0.5+INT(Summary!M1482*20)</f>
        <v>328</v>
      </c>
      <c r="G1469">
        <f>ROUND(IF(OR(ISERROR(FIND(Summary!$P$89,CONCATENATE(C1469,D1469,E1469))),ISERROR(FIND(Summary!$Q$89,A1469))),Summary!$R$45,IF(H1469&gt;Summary!$V$3,Summary!$R$46,Summary!$R$45))*(B1469+30),0)</f>
        <v>6</v>
      </c>
      <c r="H1469">
        <f>IF(H1468&gt;Summary!$V$4,0,H1468+F1468)</f>
        <v>164105</v>
      </c>
      <c r="I1469" s="26">
        <f>DATE(YEAR(Summary!$V$2),MONTH(Summary!$V$2),DAY(Summary!$V$2)+INT(H1469/480))</f>
        <v>43931</v>
      </c>
      <c r="J1469" s="27">
        <f t="shared" si="23"/>
        <v>0.62847222222222221</v>
      </c>
    </row>
    <row r="1470" spans="1:10">
      <c r="A1470" t="str">
        <f>VLOOKUP(Summary!M1469,Summary!$P$13:$Q$24,2)</f>
        <v>B1200-plum</v>
      </c>
      <c r="B1470">
        <f>ROUND(NORMINV(Summary!M1471,VLOOKUP(A1470,Summary!$Q$13:$S$24,3,FALSE),VLOOKUP(A1470,Summary!$Q$13:$S$24,3,FALSE)/6),-1)</f>
        <v>510</v>
      </c>
      <c r="C1470" t="str">
        <f>IF(AND(H1470=0,C1469=Summary!$P$2),Summary!$Q$2,IF(AND(H1470=0,C1469=Summary!$Q$2),Summary!$R$2,C1469))</f>
        <v>Jared</v>
      </c>
      <c r="D1470" t="str">
        <f>IF(C1470=Summary!$P$26,VLOOKUP(Summary!M1477,Summary!$Q$26:$R$27,2),IF('Run Data'!C1470=Summary!$P$28,VLOOKUP(Summary!M1477,Summary!$Q$28:$R$29,2),VLOOKUP(Summary!M1477,Summary!$Q$30:$R$32,2)))</f>
        <v>Sprig 2</v>
      </c>
      <c r="E1470" t="str">
        <f>VLOOKUP(Summary!M1480,Summary!$P$42:$Q$43,2)</f>
        <v>87b</v>
      </c>
      <c r="F1470">
        <f>IF(LEFT(A1470,3)="B60",20,IF(LEFT(A1470,3)="B12",30,25))+B1470*0.5+INT(Summary!M1483*20)</f>
        <v>295</v>
      </c>
      <c r="G1470">
        <f>ROUND(IF(OR(ISERROR(FIND(Summary!$P$89,CONCATENATE(C1470,D1470,E1470))),ISERROR(FIND(Summary!$Q$89,A1470))),Summary!$R$45,IF(H1470&gt;Summary!$V$3,Summary!$R$46,Summary!$R$45))*(B1470+30),0)</f>
        <v>5</v>
      </c>
      <c r="H1470">
        <f>IF(H1469&gt;Summary!$V$4,0,H1469+F1469)</f>
        <v>164433</v>
      </c>
      <c r="I1470" s="26">
        <f>DATE(YEAR(Summary!$V$2),MONTH(Summary!$V$2),DAY(Summary!$V$2)+INT(H1470/480))</f>
        <v>43932</v>
      </c>
      <c r="J1470" s="27">
        <f t="shared" si="23"/>
        <v>0.5229166666666667</v>
      </c>
    </row>
    <row r="1471" spans="1:10">
      <c r="A1471" t="str">
        <f>VLOOKUP(Summary!M1470,Summary!$P$13:$Q$24,2)</f>
        <v>B1700-lime</v>
      </c>
      <c r="B1471">
        <f>ROUND(NORMINV(Summary!M1472,VLOOKUP(A1471,Summary!$Q$13:$S$24,3,FALSE),VLOOKUP(A1471,Summary!$Q$13:$S$24,3,FALSE)/6),-1)</f>
        <v>270</v>
      </c>
      <c r="C1471" t="str">
        <f>IF(AND(H1471=0,C1470=Summary!$P$2),Summary!$Q$2,IF(AND(H1471=0,C1470=Summary!$Q$2),Summary!$R$2,C1470))</f>
        <v>Jared</v>
      </c>
      <c r="D1471" t="str">
        <f>IF(C1471=Summary!$P$26,VLOOKUP(Summary!M1478,Summary!$Q$26:$R$27,2),IF('Run Data'!C1471=Summary!$P$28,VLOOKUP(Summary!M1478,Summary!$Q$28:$R$29,2),VLOOKUP(Summary!M1478,Summary!$Q$30:$R$32,2)))</f>
        <v>Sprig 3</v>
      </c>
      <c r="E1471" t="str">
        <f>VLOOKUP(Summary!M1481,Summary!$P$42:$Q$43,2)</f>
        <v>86</v>
      </c>
      <c r="F1471">
        <f>IF(LEFT(A1471,3)="B60",20,IF(LEFT(A1471,3)="B12",30,25))+B1471*0.5+INT(Summary!M1484*20)</f>
        <v>176</v>
      </c>
      <c r="G1471">
        <f>ROUND(IF(OR(ISERROR(FIND(Summary!$P$89,CONCATENATE(C1471,D1471,E1471))),ISERROR(FIND(Summary!$Q$89,A1471))),Summary!$R$45,IF(H1471&gt;Summary!$V$3,Summary!$R$46,Summary!$R$45))*(B1471+30),0)</f>
        <v>36</v>
      </c>
      <c r="H1471">
        <f>IF(H1470&gt;Summary!$V$4,0,H1470+F1470)</f>
        <v>164728</v>
      </c>
      <c r="I1471" s="26">
        <f>DATE(YEAR(Summary!$V$2),MONTH(Summary!$V$2),DAY(Summary!$V$2)+INT(H1471/480))</f>
        <v>43933</v>
      </c>
      <c r="J1471" s="27">
        <f t="shared" si="23"/>
        <v>0.39444444444444443</v>
      </c>
    </row>
    <row r="1472" spans="1:10">
      <c r="A1472" t="str">
        <f>VLOOKUP(Summary!M1471,Summary!$P$13:$Q$24,2)</f>
        <v>B1700-sky</v>
      </c>
      <c r="B1472">
        <f>ROUND(NORMINV(Summary!M1473,VLOOKUP(A1472,Summary!$Q$13:$S$24,3,FALSE),VLOOKUP(A1472,Summary!$Q$13:$S$24,3,FALSE)/6),-1)</f>
        <v>680</v>
      </c>
      <c r="C1472" t="str">
        <f>IF(AND(H1472=0,C1471=Summary!$P$2),Summary!$Q$2,IF(AND(H1472=0,C1471=Summary!$Q$2),Summary!$R$2,C1471))</f>
        <v>Jared</v>
      </c>
      <c r="D1472" t="str">
        <f>IF(C1472=Summary!$P$26,VLOOKUP(Summary!M1479,Summary!$Q$26:$R$27,2),IF('Run Data'!C1472=Summary!$P$28,VLOOKUP(Summary!M1479,Summary!$Q$28:$R$29,2),VLOOKUP(Summary!M1479,Summary!$Q$30:$R$32,2)))</f>
        <v>Sprig 2</v>
      </c>
      <c r="E1472" t="str">
        <f>VLOOKUP(Summary!M1482,Summary!$P$42:$Q$43,2)</f>
        <v>86</v>
      </c>
      <c r="F1472">
        <f>IF(LEFT(A1472,3)="B60",20,IF(LEFT(A1472,3)="B12",30,25))+B1472*0.5+INT(Summary!M1485*20)</f>
        <v>382</v>
      </c>
      <c r="G1472">
        <f>ROUND(IF(OR(ISERROR(FIND(Summary!$P$89,CONCATENATE(C1472,D1472,E1472))),ISERROR(FIND(Summary!$Q$89,A1472))),Summary!$R$45,IF(H1472&gt;Summary!$V$3,Summary!$R$46,Summary!$R$45))*(B1472+30),0)</f>
        <v>85</v>
      </c>
      <c r="H1472">
        <f>IF(H1471&gt;Summary!$V$4,0,H1471+F1471)</f>
        <v>164904</v>
      </c>
      <c r="I1472" s="26">
        <f>DATE(YEAR(Summary!$V$2),MONTH(Summary!$V$2),DAY(Summary!$V$2)+INT(H1472/480))</f>
        <v>43933</v>
      </c>
      <c r="J1472" s="27">
        <f t="shared" si="23"/>
        <v>0.51666666666666672</v>
      </c>
    </row>
    <row r="1473" spans="1:10">
      <c r="A1473" t="str">
        <f>VLOOKUP(Summary!M1472,Summary!$P$13:$Q$24,2)</f>
        <v>B600-plum</v>
      </c>
      <c r="B1473">
        <f>ROUND(NORMINV(Summary!M1474,VLOOKUP(A1473,Summary!$Q$13:$S$24,3,FALSE),VLOOKUP(A1473,Summary!$Q$13:$S$24,3,FALSE)/6),-1)</f>
        <v>220</v>
      </c>
      <c r="C1473" t="str">
        <f>IF(AND(H1473=0,C1472=Summary!$P$2),Summary!$Q$2,IF(AND(H1473=0,C1472=Summary!$Q$2),Summary!$R$2,C1472))</f>
        <v>Jared</v>
      </c>
      <c r="D1473" t="str">
        <f>IF(C1473=Summary!$P$26,VLOOKUP(Summary!M1480,Summary!$Q$26:$R$27,2),IF('Run Data'!C1473=Summary!$P$28,VLOOKUP(Summary!M1480,Summary!$Q$28:$R$29,2),VLOOKUP(Summary!M1480,Summary!$Q$30:$R$32,2)))</f>
        <v>Sprig 3</v>
      </c>
      <c r="E1473" t="str">
        <f>VLOOKUP(Summary!M1483,Summary!$P$42:$Q$43,2)</f>
        <v>86</v>
      </c>
      <c r="F1473">
        <f>IF(LEFT(A1473,3)="B60",20,IF(LEFT(A1473,3)="B12",30,25))+B1473*0.5+INT(Summary!M1486*20)</f>
        <v>149</v>
      </c>
      <c r="G1473">
        <f>ROUND(IF(OR(ISERROR(FIND(Summary!$P$89,CONCATENATE(C1473,D1473,E1473))),ISERROR(FIND(Summary!$Q$89,A1473))),Summary!$R$45,IF(H1473&gt;Summary!$V$3,Summary!$R$46,Summary!$R$45))*(B1473+30),0)</f>
        <v>3</v>
      </c>
      <c r="H1473">
        <f>IF(H1472&gt;Summary!$V$4,0,H1472+F1472)</f>
        <v>165286</v>
      </c>
      <c r="I1473" s="26">
        <f>DATE(YEAR(Summary!$V$2),MONTH(Summary!$V$2),DAY(Summary!$V$2)+INT(H1473/480))</f>
        <v>43934</v>
      </c>
      <c r="J1473" s="27">
        <f t="shared" si="23"/>
        <v>0.44861111111111113</v>
      </c>
    </row>
    <row r="1474" spans="1:10">
      <c r="A1474" t="str">
        <f>VLOOKUP(Summary!M1473,Summary!$P$13:$Q$24,2)</f>
        <v>B1700-lime</v>
      </c>
      <c r="B1474">
        <f>ROUND(NORMINV(Summary!M1475,VLOOKUP(A1474,Summary!$Q$13:$S$24,3,FALSE),VLOOKUP(A1474,Summary!$Q$13:$S$24,3,FALSE)/6),-1)</f>
        <v>460</v>
      </c>
      <c r="C1474" t="str">
        <f>IF(AND(H1474=0,C1473=Summary!$P$2),Summary!$Q$2,IF(AND(H1474=0,C1473=Summary!$Q$2),Summary!$R$2,C1473))</f>
        <v>Jared</v>
      </c>
      <c r="D1474" t="str">
        <f>IF(C1474=Summary!$P$26,VLOOKUP(Summary!M1481,Summary!$Q$26:$R$27,2),IF('Run Data'!C1474=Summary!$P$28,VLOOKUP(Summary!M1481,Summary!$Q$28:$R$29,2),VLOOKUP(Summary!M1481,Summary!$Q$30:$R$32,2)))</f>
        <v>Sprig 2</v>
      </c>
      <c r="E1474" t="str">
        <f>VLOOKUP(Summary!M1484,Summary!$P$42:$Q$43,2)</f>
        <v>86</v>
      </c>
      <c r="F1474">
        <f>IF(LEFT(A1474,3)="B60",20,IF(LEFT(A1474,3)="B12",30,25))+B1474*0.5+INT(Summary!M1487*20)</f>
        <v>260</v>
      </c>
      <c r="G1474">
        <f>ROUND(IF(OR(ISERROR(FIND(Summary!$P$89,CONCATENATE(C1474,D1474,E1474))),ISERROR(FIND(Summary!$Q$89,A1474))),Summary!$R$45,IF(H1474&gt;Summary!$V$3,Summary!$R$46,Summary!$R$45))*(B1474+30),0)</f>
        <v>59</v>
      </c>
      <c r="H1474">
        <f>IF(H1473&gt;Summary!$V$4,0,H1473+F1473)</f>
        <v>165435</v>
      </c>
      <c r="I1474" s="26">
        <f>DATE(YEAR(Summary!$V$2),MONTH(Summary!$V$2),DAY(Summary!$V$2)+INT(H1474/480))</f>
        <v>43934</v>
      </c>
      <c r="J1474" s="27">
        <f t="shared" si="23"/>
        <v>0.55208333333333337</v>
      </c>
    </row>
    <row r="1475" spans="1:10">
      <c r="A1475" t="str">
        <f>VLOOKUP(Summary!M1474,Summary!$P$13:$Q$24,2)</f>
        <v>B1700-plum</v>
      </c>
      <c r="B1475">
        <f>ROUND(NORMINV(Summary!M1476,VLOOKUP(A1475,Summary!$Q$13:$S$24,3,FALSE),VLOOKUP(A1475,Summary!$Q$13:$S$24,3,FALSE)/6),-1)</f>
        <v>300</v>
      </c>
      <c r="C1475" t="str">
        <f>IF(AND(H1475=0,C1474=Summary!$P$2),Summary!$Q$2,IF(AND(H1475=0,C1474=Summary!$Q$2),Summary!$R$2,C1474))</f>
        <v>Jared</v>
      </c>
      <c r="D1475" t="str">
        <f>IF(C1475=Summary!$P$26,VLOOKUP(Summary!M1482,Summary!$Q$26:$R$27,2),IF('Run Data'!C1475=Summary!$P$28,VLOOKUP(Summary!M1482,Summary!$Q$28:$R$29,2),VLOOKUP(Summary!M1482,Summary!$Q$30:$R$32,2)))</f>
        <v>Sprig 2</v>
      </c>
      <c r="E1475" t="str">
        <f>VLOOKUP(Summary!M1485,Summary!$P$42:$Q$43,2)</f>
        <v>87b</v>
      </c>
      <c r="F1475">
        <f>IF(LEFT(A1475,3)="B60",20,IF(LEFT(A1475,3)="B12",30,25))+B1475*0.5+INT(Summary!M1488*20)</f>
        <v>177</v>
      </c>
      <c r="G1475">
        <f>ROUND(IF(OR(ISERROR(FIND(Summary!$P$89,CONCATENATE(C1475,D1475,E1475))),ISERROR(FIND(Summary!$Q$89,A1475))),Summary!$R$45,IF(H1475&gt;Summary!$V$3,Summary!$R$46,Summary!$R$45))*(B1475+30),0)</f>
        <v>3</v>
      </c>
      <c r="H1475">
        <f>IF(H1474&gt;Summary!$V$4,0,H1474+F1474)</f>
        <v>165695</v>
      </c>
      <c r="I1475" s="26">
        <f>DATE(YEAR(Summary!$V$2),MONTH(Summary!$V$2),DAY(Summary!$V$2)+INT(H1475/480))</f>
        <v>43935</v>
      </c>
      <c r="J1475" s="27">
        <f t="shared" si="23"/>
        <v>0.39930555555555558</v>
      </c>
    </row>
    <row r="1476" spans="1:10">
      <c r="A1476" t="str">
        <f>VLOOKUP(Summary!M1475,Summary!$P$13:$Q$24,2)</f>
        <v>B1700-sky</v>
      </c>
      <c r="B1476">
        <f>ROUND(NORMINV(Summary!M1477,VLOOKUP(A1476,Summary!$Q$13:$S$24,3,FALSE),VLOOKUP(A1476,Summary!$Q$13:$S$24,3,FALSE)/6),-1)</f>
        <v>550</v>
      </c>
      <c r="C1476" t="str">
        <f>IF(AND(H1476=0,C1475=Summary!$P$2),Summary!$Q$2,IF(AND(H1476=0,C1475=Summary!$Q$2),Summary!$R$2,C1475))</f>
        <v>Jared</v>
      </c>
      <c r="D1476" t="str">
        <f>IF(C1476=Summary!$P$26,VLOOKUP(Summary!M1483,Summary!$Q$26:$R$27,2),IF('Run Data'!C1476=Summary!$P$28,VLOOKUP(Summary!M1483,Summary!$Q$28:$R$29,2),VLOOKUP(Summary!M1483,Summary!$Q$30:$R$32,2)))</f>
        <v>Sprig 2</v>
      </c>
      <c r="E1476" t="str">
        <f>VLOOKUP(Summary!M1486,Summary!$P$42:$Q$43,2)</f>
        <v>87b</v>
      </c>
      <c r="F1476">
        <f>IF(LEFT(A1476,3)="B60",20,IF(LEFT(A1476,3)="B12",30,25))+B1476*0.5+INT(Summary!M1489*20)</f>
        <v>302</v>
      </c>
      <c r="G1476">
        <f>ROUND(IF(OR(ISERROR(FIND(Summary!$P$89,CONCATENATE(C1476,D1476,E1476))),ISERROR(FIND(Summary!$Q$89,A1476))),Summary!$R$45,IF(H1476&gt;Summary!$V$3,Summary!$R$46,Summary!$R$45))*(B1476+30),0)</f>
        <v>6</v>
      </c>
      <c r="H1476">
        <f>IF(H1475&gt;Summary!$V$4,0,H1475+F1475)</f>
        <v>165872</v>
      </c>
      <c r="I1476" s="26">
        <f>DATE(YEAR(Summary!$V$2),MONTH(Summary!$V$2),DAY(Summary!$V$2)+INT(H1476/480))</f>
        <v>43935</v>
      </c>
      <c r="J1476" s="27">
        <f t="shared" si="23"/>
        <v>0.52222222222222225</v>
      </c>
    </row>
    <row r="1477" spans="1:10">
      <c r="A1477" t="str">
        <f>VLOOKUP(Summary!M1476,Summary!$P$13:$Q$24,2)</f>
        <v>B1200-fire</v>
      </c>
      <c r="B1477">
        <f>ROUND(NORMINV(Summary!M1478,VLOOKUP(A1477,Summary!$Q$13:$S$24,3,FALSE),VLOOKUP(A1477,Summary!$Q$13:$S$24,3,FALSE)/6),-1)</f>
        <v>1390</v>
      </c>
      <c r="C1477" t="str">
        <f>IF(AND(H1477=0,C1476=Summary!$P$2),Summary!$Q$2,IF(AND(H1477=0,C1476=Summary!$Q$2),Summary!$R$2,C1476))</f>
        <v>Jared</v>
      </c>
      <c r="D1477" t="str">
        <f>IF(C1477=Summary!$P$26,VLOOKUP(Summary!M1484,Summary!$Q$26:$R$27,2),IF('Run Data'!C1477=Summary!$P$28,VLOOKUP(Summary!M1484,Summary!$Q$28:$R$29,2),VLOOKUP(Summary!M1484,Summary!$Q$30:$R$32,2)))</f>
        <v>Sprig 3</v>
      </c>
      <c r="E1477" t="str">
        <f>VLOOKUP(Summary!M1487,Summary!$P$42:$Q$43,2)</f>
        <v>86</v>
      </c>
      <c r="F1477">
        <f>IF(LEFT(A1477,3)="B60",20,IF(LEFT(A1477,3)="B12",30,25))+B1477*0.5+INT(Summary!M1490*20)</f>
        <v>743</v>
      </c>
      <c r="G1477">
        <f>ROUND(IF(OR(ISERROR(FIND(Summary!$P$89,CONCATENATE(C1477,D1477,E1477))),ISERROR(FIND(Summary!$Q$89,A1477))),Summary!$R$45,IF(H1477&gt;Summary!$V$3,Summary!$R$46,Summary!$R$45))*(B1477+30),0)</f>
        <v>14</v>
      </c>
      <c r="H1477">
        <f>IF(H1476&gt;Summary!$V$4,0,H1476+F1476)</f>
        <v>166174</v>
      </c>
      <c r="I1477" s="26">
        <f>DATE(YEAR(Summary!$V$2),MONTH(Summary!$V$2),DAY(Summary!$V$2)+INT(H1477/480))</f>
        <v>43936</v>
      </c>
      <c r="J1477" s="27">
        <f t="shared" si="23"/>
        <v>0.39861111111111108</v>
      </c>
    </row>
    <row r="1478" spans="1:10">
      <c r="A1478" t="str">
        <f>VLOOKUP(Summary!M1477,Summary!$P$13:$Q$24,2)</f>
        <v>B1200-fire</v>
      </c>
      <c r="B1478">
        <f>ROUND(NORMINV(Summary!M1479,VLOOKUP(A1478,Summary!$Q$13:$S$24,3,FALSE),VLOOKUP(A1478,Summary!$Q$13:$S$24,3,FALSE)/6),-1)</f>
        <v>1170</v>
      </c>
      <c r="C1478" t="str">
        <f>IF(AND(H1478=0,C1477=Summary!$P$2),Summary!$Q$2,IF(AND(H1478=0,C1477=Summary!$Q$2),Summary!$R$2,C1477))</f>
        <v>Jared</v>
      </c>
      <c r="D1478" t="str">
        <f>IF(C1478=Summary!$P$26,VLOOKUP(Summary!M1485,Summary!$Q$26:$R$27,2),IF('Run Data'!C1478=Summary!$P$28,VLOOKUP(Summary!M1485,Summary!$Q$28:$R$29,2),VLOOKUP(Summary!M1485,Summary!$Q$30:$R$32,2)))</f>
        <v>Sprig 3</v>
      </c>
      <c r="E1478" t="str">
        <f>VLOOKUP(Summary!M1488,Summary!$P$42:$Q$43,2)</f>
        <v>86</v>
      </c>
      <c r="F1478">
        <f>IF(LEFT(A1478,3)="B60",20,IF(LEFT(A1478,3)="B12",30,25))+B1478*0.5+INT(Summary!M1491*20)</f>
        <v>633</v>
      </c>
      <c r="G1478">
        <f>ROUND(IF(OR(ISERROR(FIND(Summary!$P$89,CONCATENATE(C1478,D1478,E1478))),ISERROR(FIND(Summary!$Q$89,A1478))),Summary!$R$45,IF(H1478&gt;Summary!$V$3,Summary!$R$46,Summary!$R$45))*(B1478+30),0)</f>
        <v>12</v>
      </c>
      <c r="H1478">
        <f>IF(H1477&gt;Summary!$V$4,0,H1477+F1477)</f>
        <v>166917</v>
      </c>
      <c r="I1478" s="26">
        <f>DATE(YEAR(Summary!$V$2),MONTH(Summary!$V$2),DAY(Summary!$V$2)+INT(H1478/480))</f>
        <v>43937</v>
      </c>
      <c r="J1478" s="27">
        <f t="shared" si="23"/>
        <v>0.58124999999999993</v>
      </c>
    </row>
    <row r="1479" spans="1:10">
      <c r="A1479" t="str">
        <f>VLOOKUP(Summary!M1478,Summary!$P$13:$Q$24,2)</f>
        <v>B1700-sky</v>
      </c>
      <c r="B1479">
        <f>ROUND(NORMINV(Summary!M1480,VLOOKUP(A1479,Summary!$Q$13:$S$24,3,FALSE),VLOOKUP(A1479,Summary!$Q$13:$S$24,3,FALSE)/6),-1)</f>
        <v>670</v>
      </c>
      <c r="C1479" t="str">
        <f>IF(AND(H1479=0,C1478=Summary!$P$2),Summary!$Q$2,IF(AND(H1479=0,C1478=Summary!$Q$2),Summary!$R$2,C1478))</f>
        <v>Jared</v>
      </c>
      <c r="D1479" t="str">
        <f>IF(C1479=Summary!$P$26,VLOOKUP(Summary!M1486,Summary!$Q$26:$R$27,2),IF('Run Data'!C1479=Summary!$P$28,VLOOKUP(Summary!M1486,Summary!$Q$28:$R$29,2),VLOOKUP(Summary!M1486,Summary!$Q$30:$R$32,2)))</f>
        <v>Sprig 3</v>
      </c>
      <c r="E1479" t="str">
        <f>VLOOKUP(Summary!M1489,Summary!$P$42:$Q$43,2)</f>
        <v>86</v>
      </c>
      <c r="F1479">
        <f>IF(LEFT(A1479,3)="B60",20,IF(LEFT(A1479,3)="B12",30,25))+B1479*0.5+INT(Summary!M1492*20)</f>
        <v>368</v>
      </c>
      <c r="G1479">
        <f>ROUND(IF(OR(ISERROR(FIND(Summary!$P$89,CONCATENATE(C1479,D1479,E1479))),ISERROR(FIND(Summary!$Q$89,A1479))),Summary!$R$45,IF(H1479&gt;Summary!$V$3,Summary!$R$46,Summary!$R$45))*(B1479+30),0)</f>
        <v>84</v>
      </c>
      <c r="H1479">
        <f>IF(H1478&gt;Summary!$V$4,0,H1478+F1478)</f>
        <v>167550</v>
      </c>
      <c r="I1479" s="26">
        <f>DATE(YEAR(Summary!$V$2),MONTH(Summary!$V$2),DAY(Summary!$V$2)+INT(H1479/480))</f>
        <v>43939</v>
      </c>
      <c r="J1479" s="27">
        <f t="shared" si="23"/>
        <v>0.35416666666666669</v>
      </c>
    </row>
    <row r="1480" spans="1:10">
      <c r="A1480" t="str">
        <f>VLOOKUP(Summary!M1479,Summary!$P$13:$Q$24,2)</f>
        <v>B1200-sky</v>
      </c>
      <c r="B1480">
        <f>ROUND(NORMINV(Summary!M1481,VLOOKUP(A1480,Summary!$Q$13:$S$24,3,FALSE),VLOOKUP(A1480,Summary!$Q$13:$S$24,3,FALSE)/6),-1)</f>
        <v>1100</v>
      </c>
      <c r="C1480" t="str">
        <f>IF(AND(H1480=0,C1479=Summary!$P$2),Summary!$Q$2,IF(AND(H1480=0,C1479=Summary!$Q$2),Summary!$R$2,C1479))</f>
        <v>Jared</v>
      </c>
      <c r="D1480" t="str">
        <f>IF(C1480=Summary!$P$26,VLOOKUP(Summary!M1487,Summary!$Q$26:$R$27,2),IF('Run Data'!C1480=Summary!$P$28,VLOOKUP(Summary!M1487,Summary!$Q$28:$R$29,2),VLOOKUP(Summary!M1487,Summary!$Q$30:$R$32,2)))</f>
        <v>Sprig 2</v>
      </c>
      <c r="E1480" t="str">
        <f>VLOOKUP(Summary!M1490,Summary!$P$42:$Q$43,2)</f>
        <v>87b</v>
      </c>
      <c r="F1480">
        <f>IF(LEFT(A1480,3)="B60",20,IF(LEFT(A1480,3)="B12",30,25))+B1480*0.5+INT(Summary!M1493*20)</f>
        <v>581</v>
      </c>
      <c r="G1480">
        <f>ROUND(IF(OR(ISERROR(FIND(Summary!$P$89,CONCATENATE(C1480,D1480,E1480))),ISERROR(FIND(Summary!$Q$89,A1480))),Summary!$R$45,IF(H1480&gt;Summary!$V$3,Summary!$R$46,Summary!$R$45))*(B1480+30),0)</f>
        <v>11</v>
      </c>
      <c r="H1480">
        <f>IF(H1479&gt;Summary!$V$4,0,H1479+F1479)</f>
        <v>167918</v>
      </c>
      <c r="I1480" s="26">
        <f>DATE(YEAR(Summary!$V$2),MONTH(Summary!$V$2),DAY(Summary!$V$2)+INT(H1480/480))</f>
        <v>43939</v>
      </c>
      <c r="J1480" s="27">
        <f t="shared" si="23"/>
        <v>0.60972222222222217</v>
      </c>
    </row>
    <row r="1481" spans="1:10">
      <c r="A1481" t="str">
        <f>VLOOKUP(Summary!M1480,Summary!$P$13:$Q$24,2)</f>
        <v>B1700-fire</v>
      </c>
      <c r="B1481">
        <f>ROUND(NORMINV(Summary!M1482,VLOOKUP(A1481,Summary!$Q$13:$S$24,3,FALSE),VLOOKUP(A1481,Summary!$Q$13:$S$24,3,FALSE)/6),-1)</f>
        <v>720</v>
      </c>
      <c r="C1481" t="str">
        <f>IF(AND(H1481=0,C1480=Summary!$P$2),Summary!$Q$2,IF(AND(H1481=0,C1480=Summary!$Q$2),Summary!$R$2,C1480))</f>
        <v>Jared</v>
      </c>
      <c r="D1481" t="str">
        <f>IF(C1481=Summary!$P$26,VLOOKUP(Summary!M1488,Summary!$Q$26:$R$27,2),IF('Run Data'!C1481=Summary!$P$28,VLOOKUP(Summary!M1488,Summary!$Q$28:$R$29,2),VLOOKUP(Summary!M1488,Summary!$Q$30:$R$32,2)))</f>
        <v>Sprig 1</v>
      </c>
      <c r="E1481" t="str">
        <f>VLOOKUP(Summary!M1491,Summary!$P$42:$Q$43,2)</f>
        <v>87b</v>
      </c>
      <c r="F1481">
        <f>IF(LEFT(A1481,3)="B60",20,IF(LEFT(A1481,3)="B12",30,25))+B1481*0.5+INT(Summary!M1494*20)</f>
        <v>401</v>
      </c>
      <c r="G1481">
        <f>ROUND(IF(OR(ISERROR(FIND(Summary!$P$89,CONCATENATE(C1481,D1481,E1481))),ISERROR(FIND(Summary!$Q$89,A1481))),Summary!$R$45,IF(H1481&gt;Summary!$V$3,Summary!$R$46,Summary!$R$45))*(B1481+30),0)</f>
        <v>8</v>
      </c>
      <c r="H1481">
        <f>IF(H1480&gt;Summary!$V$4,0,H1480+F1480)</f>
        <v>168499</v>
      </c>
      <c r="I1481" s="26">
        <f>DATE(YEAR(Summary!$V$2),MONTH(Summary!$V$2),DAY(Summary!$V$2)+INT(H1481/480))</f>
        <v>43941</v>
      </c>
      <c r="J1481" s="27">
        <f t="shared" si="23"/>
        <v>0.34652777777777777</v>
      </c>
    </row>
    <row r="1482" spans="1:10">
      <c r="A1482" t="str">
        <f>VLOOKUP(Summary!M1481,Summary!$P$13:$Q$24,2)</f>
        <v>B1200-plum</v>
      </c>
      <c r="B1482">
        <f>ROUND(NORMINV(Summary!M1483,VLOOKUP(A1482,Summary!$Q$13:$S$24,3,FALSE),VLOOKUP(A1482,Summary!$Q$13:$S$24,3,FALSE)/6),-1)</f>
        <v>450</v>
      </c>
      <c r="C1482" t="str">
        <f>IF(AND(H1482=0,C1481=Summary!$P$2),Summary!$Q$2,IF(AND(H1482=0,C1481=Summary!$Q$2),Summary!$R$2,C1481))</f>
        <v>Jared</v>
      </c>
      <c r="D1482" t="str">
        <f>IF(C1482=Summary!$P$26,VLOOKUP(Summary!M1489,Summary!$Q$26:$R$27,2),IF('Run Data'!C1482=Summary!$P$28,VLOOKUP(Summary!M1489,Summary!$Q$28:$R$29,2),VLOOKUP(Summary!M1489,Summary!$Q$30:$R$32,2)))</f>
        <v>Sprig 1</v>
      </c>
      <c r="E1482" t="str">
        <f>VLOOKUP(Summary!M1492,Summary!$P$42:$Q$43,2)</f>
        <v>86</v>
      </c>
      <c r="F1482">
        <f>IF(LEFT(A1482,3)="B60",20,IF(LEFT(A1482,3)="B12",30,25))+B1482*0.5+INT(Summary!M1495*20)</f>
        <v>263</v>
      </c>
      <c r="G1482">
        <f>ROUND(IF(OR(ISERROR(FIND(Summary!$P$89,CONCATENATE(C1482,D1482,E1482))),ISERROR(FIND(Summary!$Q$89,A1482))),Summary!$R$45,IF(H1482&gt;Summary!$V$3,Summary!$R$46,Summary!$R$45))*(B1482+30),0)</f>
        <v>5</v>
      </c>
      <c r="H1482">
        <f>IF(H1481&gt;Summary!$V$4,0,H1481+F1481)</f>
        <v>168900</v>
      </c>
      <c r="I1482" s="26">
        <f>DATE(YEAR(Summary!$V$2),MONTH(Summary!$V$2),DAY(Summary!$V$2)+INT(H1482/480))</f>
        <v>43941</v>
      </c>
      <c r="J1482" s="27">
        <f t="shared" si="23"/>
        <v>0.625</v>
      </c>
    </row>
    <row r="1483" spans="1:10">
      <c r="A1483" t="str">
        <f>VLOOKUP(Summary!M1482,Summary!$P$13:$Q$24,2)</f>
        <v>B1200-sky</v>
      </c>
      <c r="B1483">
        <f>ROUND(NORMINV(Summary!M1484,VLOOKUP(A1483,Summary!$Q$13:$S$24,3,FALSE),VLOOKUP(A1483,Summary!$Q$13:$S$24,3,FALSE)/6),-1)</f>
        <v>1380</v>
      </c>
      <c r="C1483" t="str">
        <f>IF(AND(H1483=0,C1482=Summary!$P$2),Summary!$Q$2,IF(AND(H1483=0,C1482=Summary!$Q$2),Summary!$R$2,C1482))</f>
        <v>Jared</v>
      </c>
      <c r="D1483" t="str">
        <f>IF(C1483=Summary!$P$26,VLOOKUP(Summary!M1490,Summary!$Q$26:$R$27,2),IF('Run Data'!C1483=Summary!$P$28,VLOOKUP(Summary!M1490,Summary!$Q$28:$R$29,2),VLOOKUP(Summary!M1490,Summary!$Q$30:$R$32,2)))</f>
        <v>Sprig 3</v>
      </c>
      <c r="E1483" t="str">
        <f>VLOOKUP(Summary!M1493,Summary!$P$42:$Q$43,2)</f>
        <v>86</v>
      </c>
      <c r="F1483">
        <f>IF(LEFT(A1483,3)="B60",20,IF(LEFT(A1483,3)="B12",30,25))+B1483*0.5+INT(Summary!M1496*20)</f>
        <v>732</v>
      </c>
      <c r="G1483">
        <f>ROUND(IF(OR(ISERROR(FIND(Summary!$P$89,CONCATENATE(C1483,D1483,E1483))),ISERROR(FIND(Summary!$Q$89,A1483))),Summary!$R$45,IF(H1483&gt;Summary!$V$3,Summary!$R$46,Summary!$R$45))*(B1483+30),0)</f>
        <v>14</v>
      </c>
      <c r="H1483">
        <f>IF(H1482&gt;Summary!$V$4,0,H1482+F1482)</f>
        <v>169163</v>
      </c>
      <c r="I1483" s="26">
        <f>DATE(YEAR(Summary!$V$2),MONTH(Summary!$V$2),DAY(Summary!$V$2)+INT(H1483/480))</f>
        <v>43942</v>
      </c>
      <c r="J1483" s="27">
        <f t="shared" si="23"/>
        <v>0.47430555555555554</v>
      </c>
    </row>
    <row r="1484" spans="1:10">
      <c r="A1484" t="str">
        <f>VLOOKUP(Summary!M1483,Summary!$P$13:$Q$24,2)</f>
        <v>B1200-fire</v>
      </c>
      <c r="B1484">
        <f>ROUND(NORMINV(Summary!M1485,VLOOKUP(A1484,Summary!$Q$13:$S$24,3,FALSE),VLOOKUP(A1484,Summary!$Q$13:$S$24,3,FALSE)/6),-1)</f>
        <v>1440</v>
      </c>
      <c r="C1484" t="str">
        <f>IF(AND(H1484=0,C1483=Summary!$P$2),Summary!$Q$2,IF(AND(H1484=0,C1483=Summary!$Q$2),Summary!$R$2,C1483))</f>
        <v>Jared</v>
      </c>
      <c r="D1484" t="str">
        <f>IF(C1484=Summary!$P$26,VLOOKUP(Summary!M1491,Summary!$Q$26:$R$27,2),IF('Run Data'!C1484=Summary!$P$28,VLOOKUP(Summary!M1491,Summary!$Q$28:$R$29,2),VLOOKUP(Summary!M1491,Summary!$Q$30:$R$32,2)))</f>
        <v>Sprig 3</v>
      </c>
      <c r="E1484" t="str">
        <f>VLOOKUP(Summary!M1494,Summary!$P$42:$Q$43,2)</f>
        <v>86</v>
      </c>
      <c r="F1484">
        <f>IF(LEFT(A1484,3)="B60",20,IF(LEFT(A1484,3)="B12",30,25))+B1484*0.5+INT(Summary!M1497*20)</f>
        <v>760</v>
      </c>
      <c r="G1484">
        <f>ROUND(IF(OR(ISERROR(FIND(Summary!$P$89,CONCATENATE(C1484,D1484,E1484))),ISERROR(FIND(Summary!$Q$89,A1484))),Summary!$R$45,IF(H1484&gt;Summary!$V$3,Summary!$R$46,Summary!$R$45))*(B1484+30),0)</f>
        <v>15</v>
      </c>
      <c r="H1484">
        <f>IF(H1483&gt;Summary!$V$4,0,H1483+F1483)</f>
        <v>169895</v>
      </c>
      <c r="I1484" s="26">
        <f>DATE(YEAR(Summary!$V$2),MONTH(Summary!$V$2),DAY(Summary!$V$2)+INT(H1484/480))</f>
        <v>43943</v>
      </c>
      <c r="J1484" s="27">
        <f t="shared" si="23"/>
        <v>0.64930555555555558</v>
      </c>
    </row>
    <row r="1485" spans="1:10">
      <c r="A1485" t="str">
        <f>VLOOKUP(Summary!M1484,Summary!$P$13:$Q$24,2)</f>
        <v>B1700-sky</v>
      </c>
      <c r="B1485">
        <f>ROUND(NORMINV(Summary!M1486,VLOOKUP(A1485,Summary!$Q$13:$S$24,3,FALSE),VLOOKUP(A1485,Summary!$Q$13:$S$24,3,FALSE)/6),-1)</f>
        <v>710</v>
      </c>
      <c r="C1485" t="str">
        <f>IF(AND(H1485=0,C1484=Summary!$P$2),Summary!$Q$2,IF(AND(H1485=0,C1484=Summary!$Q$2),Summary!$R$2,C1484))</f>
        <v>Jared</v>
      </c>
      <c r="D1485" t="str">
        <f>IF(C1485=Summary!$P$26,VLOOKUP(Summary!M1492,Summary!$Q$26:$R$27,2),IF('Run Data'!C1485=Summary!$P$28,VLOOKUP(Summary!M1492,Summary!$Q$28:$R$29,2),VLOOKUP(Summary!M1492,Summary!$Q$30:$R$32,2)))</f>
        <v>Sprig 2</v>
      </c>
      <c r="E1485" t="str">
        <f>VLOOKUP(Summary!M1495,Summary!$P$42:$Q$43,2)</f>
        <v>86</v>
      </c>
      <c r="F1485">
        <f>IF(LEFT(A1485,3)="B60",20,IF(LEFT(A1485,3)="B12",30,25))+B1485*0.5+INT(Summary!M1498*20)</f>
        <v>380</v>
      </c>
      <c r="G1485">
        <f>ROUND(IF(OR(ISERROR(FIND(Summary!$P$89,CONCATENATE(C1485,D1485,E1485))),ISERROR(FIND(Summary!$Q$89,A1485))),Summary!$R$45,IF(H1485&gt;Summary!$V$3,Summary!$R$46,Summary!$R$45))*(B1485+30),0)</f>
        <v>89</v>
      </c>
      <c r="H1485">
        <f>IF(H1484&gt;Summary!$V$4,0,H1484+F1484)</f>
        <v>170655</v>
      </c>
      <c r="I1485" s="26">
        <f>DATE(YEAR(Summary!$V$2),MONTH(Summary!$V$2),DAY(Summary!$V$2)+INT(H1485/480))</f>
        <v>43945</v>
      </c>
      <c r="J1485" s="27">
        <f t="shared" si="23"/>
        <v>0.51041666666666663</v>
      </c>
    </row>
    <row r="1486" spans="1:10">
      <c r="A1486" t="str">
        <f>VLOOKUP(Summary!M1485,Summary!$P$13:$Q$24,2)</f>
        <v>B1700-fire</v>
      </c>
      <c r="B1486">
        <f>ROUND(NORMINV(Summary!M1487,VLOOKUP(A1486,Summary!$Q$13:$S$24,3,FALSE),VLOOKUP(A1486,Summary!$Q$13:$S$24,3,FALSE)/6),-1)</f>
        <v>670</v>
      </c>
      <c r="C1486" t="str">
        <f>IF(AND(H1486=0,C1485=Summary!$P$2),Summary!$Q$2,IF(AND(H1486=0,C1485=Summary!$Q$2),Summary!$R$2,C1485))</f>
        <v>Jared</v>
      </c>
      <c r="D1486" t="str">
        <f>IF(C1486=Summary!$P$26,VLOOKUP(Summary!M1493,Summary!$Q$26:$R$27,2),IF('Run Data'!C1486=Summary!$P$28,VLOOKUP(Summary!M1493,Summary!$Q$28:$R$29,2),VLOOKUP(Summary!M1493,Summary!$Q$30:$R$32,2)))</f>
        <v>Sprig 1</v>
      </c>
      <c r="E1486" t="str">
        <f>VLOOKUP(Summary!M1496,Summary!$P$42:$Q$43,2)</f>
        <v>86</v>
      </c>
      <c r="F1486">
        <f>IF(LEFT(A1486,3)="B60",20,IF(LEFT(A1486,3)="B12",30,25))+B1486*0.5+INT(Summary!M1499*20)</f>
        <v>379</v>
      </c>
      <c r="G1486">
        <f>ROUND(IF(OR(ISERROR(FIND(Summary!$P$89,CONCATENATE(C1486,D1486,E1486))),ISERROR(FIND(Summary!$Q$89,A1486))),Summary!$R$45,IF(H1486&gt;Summary!$V$3,Summary!$R$46,Summary!$R$45))*(B1486+30),0)</f>
        <v>84</v>
      </c>
      <c r="H1486">
        <f>IF(H1485&gt;Summary!$V$4,0,H1485+F1485)</f>
        <v>171035</v>
      </c>
      <c r="I1486" s="26">
        <f>DATE(YEAR(Summary!$V$2),MONTH(Summary!$V$2),DAY(Summary!$V$2)+INT(H1486/480))</f>
        <v>43946</v>
      </c>
      <c r="J1486" s="27">
        <f t="shared" si="23"/>
        <v>0.44097222222222227</v>
      </c>
    </row>
    <row r="1487" spans="1:10">
      <c r="A1487" t="str">
        <f>VLOOKUP(Summary!M1486,Summary!$P$13:$Q$24,2)</f>
        <v>B1700-lime</v>
      </c>
      <c r="B1487">
        <f>ROUND(NORMINV(Summary!M1488,VLOOKUP(A1487,Summary!$Q$13:$S$24,3,FALSE),VLOOKUP(A1487,Summary!$Q$13:$S$24,3,FALSE)/6),-1)</f>
        <v>330</v>
      </c>
      <c r="C1487" t="str">
        <f>IF(AND(H1487=0,C1486=Summary!$P$2),Summary!$Q$2,IF(AND(H1487=0,C1486=Summary!$Q$2),Summary!$R$2,C1486))</f>
        <v>Jared</v>
      </c>
      <c r="D1487" t="str">
        <f>IF(C1487=Summary!$P$26,VLOOKUP(Summary!M1494,Summary!$Q$26:$R$27,2),IF('Run Data'!C1487=Summary!$P$28,VLOOKUP(Summary!M1494,Summary!$Q$28:$R$29,2),VLOOKUP(Summary!M1494,Summary!$Q$30:$R$32,2)))</f>
        <v>Sprig 3</v>
      </c>
      <c r="E1487" t="str">
        <f>VLOOKUP(Summary!M1497,Summary!$P$42:$Q$43,2)</f>
        <v>86</v>
      </c>
      <c r="F1487">
        <f>IF(LEFT(A1487,3)="B60",20,IF(LEFT(A1487,3)="B12",30,25))+B1487*0.5+INT(Summary!M1500*20)</f>
        <v>193</v>
      </c>
      <c r="G1487">
        <f>ROUND(IF(OR(ISERROR(FIND(Summary!$P$89,CONCATENATE(C1487,D1487,E1487))),ISERROR(FIND(Summary!$Q$89,A1487))),Summary!$R$45,IF(H1487&gt;Summary!$V$3,Summary!$R$46,Summary!$R$45))*(B1487+30),0)</f>
        <v>43</v>
      </c>
      <c r="H1487">
        <f>IF(H1486&gt;Summary!$V$4,0,H1486+F1486)</f>
        <v>171414</v>
      </c>
      <c r="I1487" s="26">
        <f>DATE(YEAR(Summary!$V$2),MONTH(Summary!$V$2),DAY(Summary!$V$2)+INT(H1487/480))</f>
        <v>43947</v>
      </c>
      <c r="J1487" s="27">
        <f t="shared" si="23"/>
        <v>0.37083333333333335</v>
      </c>
    </row>
    <row r="1488" spans="1:10">
      <c r="A1488" t="str">
        <f>VLOOKUP(Summary!M1487,Summary!$P$13:$Q$24,2)</f>
        <v>B1200-plum</v>
      </c>
      <c r="B1488">
        <f>ROUND(NORMINV(Summary!M1489,VLOOKUP(A1488,Summary!$Q$13:$S$24,3,FALSE),VLOOKUP(A1488,Summary!$Q$13:$S$24,3,FALSE)/6),-1)</f>
        <v>370</v>
      </c>
      <c r="C1488" t="str">
        <f>IF(AND(H1488=0,C1487=Summary!$P$2),Summary!$Q$2,IF(AND(H1488=0,C1487=Summary!$Q$2),Summary!$R$2,C1487))</f>
        <v>Jared</v>
      </c>
      <c r="D1488" t="str">
        <f>IF(C1488=Summary!$P$26,VLOOKUP(Summary!M1495,Summary!$Q$26:$R$27,2),IF('Run Data'!C1488=Summary!$P$28,VLOOKUP(Summary!M1495,Summary!$Q$28:$R$29,2),VLOOKUP(Summary!M1495,Summary!$Q$30:$R$32,2)))</f>
        <v>Sprig 2</v>
      </c>
      <c r="E1488" t="str">
        <f>VLOOKUP(Summary!M1498,Summary!$P$42:$Q$43,2)</f>
        <v>86</v>
      </c>
      <c r="F1488">
        <f>IF(LEFT(A1488,3)="B60",20,IF(LEFT(A1488,3)="B12",30,25))+B1488*0.5+INT(Summary!M1501*20)</f>
        <v>215</v>
      </c>
      <c r="G1488">
        <f>ROUND(IF(OR(ISERROR(FIND(Summary!$P$89,CONCATENATE(C1488,D1488,E1488))),ISERROR(FIND(Summary!$Q$89,A1488))),Summary!$R$45,IF(H1488&gt;Summary!$V$3,Summary!$R$46,Summary!$R$45))*(B1488+30),0)</f>
        <v>4</v>
      </c>
      <c r="H1488">
        <f>IF(H1487&gt;Summary!$V$4,0,H1487+F1487)</f>
        <v>171607</v>
      </c>
      <c r="I1488" s="26">
        <f>DATE(YEAR(Summary!$V$2),MONTH(Summary!$V$2),DAY(Summary!$V$2)+INT(H1488/480))</f>
        <v>43947</v>
      </c>
      <c r="J1488" s="27">
        <f t="shared" si="23"/>
        <v>0.50486111111111109</v>
      </c>
    </row>
    <row r="1489" spans="1:10">
      <c r="A1489" t="str">
        <f>VLOOKUP(Summary!M1488,Summary!$P$13:$Q$24,2)</f>
        <v>B600-fire</v>
      </c>
      <c r="B1489">
        <f>ROUND(NORMINV(Summary!M1490,VLOOKUP(A1489,Summary!$Q$13:$S$24,3,FALSE),VLOOKUP(A1489,Summary!$Q$13:$S$24,3,FALSE)/6),-1)</f>
        <v>500</v>
      </c>
      <c r="C1489" t="str">
        <f>IF(AND(H1489=0,C1488=Summary!$P$2),Summary!$Q$2,IF(AND(H1489=0,C1488=Summary!$Q$2),Summary!$R$2,C1488))</f>
        <v>Jared</v>
      </c>
      <c r="D1489" t="str">
        <f>IF(C1489=Summary!$P$26,VLOOKUP(Summary!M1496,Summary!$Q$26:$R$27,2),IF('Run Data'!C1489=Summary!$P$28,VLOOKUP(Summary!M1496,Summary!$Q$28:$R$29,2),VLOOKUP(Summary!M1496,Summary!$Q$30:$R$32,2)))</f>
        <v>Sprig 3</v>
      </c>
      <c r="E1489" t="str">
        <f>VLOOKUP(Summary!M1499,Summary!$P$42:$Q$43,2)</f>
        <v>87b</v>
      </c>
      <c r="F1489">
        <f>IF(LEFT(A1489,3)="B60",20,IF(LEFT(A1489,3)="B12",30,25))+B1489*0.5+INT(Summary!M1502*20)</f>
        <v>283</v>
      </c>
      <c r="G1489">
        <f>ROUND(IF(OR(ISERROR(FIND(Summary!$P$89,CONCATENATE(C1489,D1489,E1489))),ISERROR(FIND(Summary!$Q$89,A1489))),Summary!$R$45,IF(H1489&gt;Summary!$V$3,Summary!$R$46,Summary!$R$45))*(B1489+30),0)</f>
        <v>5</v>
      </c>
      <c r="H1489">
        <f>IF(H1488&gt;Summary!$V$4,0,H1488+F1488)</f>
        <v>171822</v>
      </c>
      <c r="I1489" s="26">
        <f>DATE(YEAR(Summary!$V$2),MONTH(Summary!$V$2),DAY(Summary!$V$2)+INT(H1489/480))</f>
        <v>43947</v>
      </c>
      <c r="J1489" s="27">
        <f t="shared" ref="J1489:J1500" si="24">TIME(INT(MOD(H1489,480)/60)+8,MOD(MOD(H1489,480),60),0)</f>
        <v>0.65416666666666667</v>
      </c>
    </row>
    <row r="1490" spans="1:10">
      <c r="A1490" t="str">
        <f>VLOOKUP(Summary!M1489,Summary!$P$13:$Q$24,2)</f>
        <v>B600-fire</v>
      </c>
      <c r="B1490">
        <f>ROUND(NORMINV(Summary!M1491,VLOOKUP(A1490,Summary!$Q$13:$S$24,3,FALSE),VLOOKUP(A1490,Summary!$Q$13:$S$24,3,FALSE)/6),-1)</f>
        <v>500</v>
      </c>
      <c r="C1490" t="str">
        <f>IF(AND(H1490=0,C1489=Summary!$P$2),Summary!$Q$2,IF(AND(H1490=0,C1489=Summary!$Q$2),Summary!$R$2,C1489))</f>
        <v>Jared</v>
      </c>
      <c r="D1490" t="str">
        <f>IF(C1490=Summary!$P$26,VLOOKUP(Summary!M1497,Summary!$Q$26:$R$27,2),IF('Run Data'!C1490=Summary!$P$28,VLOOKUP(Summary!M1497,Summary!$Q$28:$R$29,2),VLOOKUP(Summary!M1497,Summary!$Q$30:$R$32,2)))</f>
        <v>Sprig 2</v>
      </c>
      <c r="E1490" t="str">
        <f>VLOOKUP(Summary!M1500,Summary!$P$42:$Q$43,2)</f>
        <v>86</v>
      </c>
      <c r="F1490">
        <f>IF(LEFT(A1490,3)="B60",20,IF(LEFT(A1490,3)="B12",30,25))+B1490*0.5+INT(Summary!M1503*20)</f>
        <v>272</v>
      </c>
      <c r="G1490">
        <f>ROUND(IF(OR(ISERROR(FIND(Summary!$P$89,CONCATENATE(C1490,D1490,E1490))),ISERROR(FIND(Summary!$Q$89,A1490))),Summary!$R$45,IF(H1490&gt;Summary!$V$3,Summary!$R$46,Summary!$R$45))*(B1490+30),0)</f>
        <v>5</v>
      </c>
      <c r="H1490">
        <f>IF(H1489&gt;Summary!$V$4,0,H1489+F1489)</f>
        <v>172105</v>
      </c>
      <c r="I1490" s="26">
        <f>DATE(YEAR(Summary!$V$2),MONTH(Summary!$V$2),DAY(Summary!$V$2)+INT(H1490/480))</f>
        <v>43948</v>
      </c>
      <c r="J1490" s="27">
        <f t="shared" si="24"/>
        <v>0.51736111111111105</v>
      </c>
    </row>
    <row r="1491" spans="1:10">
      <c r="A1491" t="str">
        <f>VLOOKUP(Summary!M1490,Summary!$P$13:$Q$24,2)</f>
        <v>B1700-lime</v>
      </c>
      <c r="B1491">
        <f>ROUND(NORMINV(Summary!M1492,VLOOKUP(A1491,Summary!$Q$13:$S$24,3,FALSE),VLOOKUP(A1491,Summary!$Q$13:$S$24,3,FALSE)/6),-1)</f>
        <v>380</v>
      </c>
      <c r="C1491" t="str">
        <f>IF(AND(H1491=0,C1490=Summary!$P$2),Summary!$Q$2,IF(AND(H1491=0,C1490=Summary!$Q$2),Summary!$R$2,C1490))</f>
        <v>Jared</v>
      </c>
      <c r="D1491" t="str">
        <f>IF(C1491=Summary!$P$26,VLOOKUP(Summary!M1498,Summary!$Q$26:$R$27,2),IF('Run Data'!C1491=Summary!$P$28,VLOOKUP(Summary!M1498,Summary!$Q$28:$R$29,2),VLOOKUP(Summary!M1498,Summary!$Q$30:$R$32,2)))</f>
        <v>Sprig 1</v>
      </c>
      <c r="E1491" t="str">
        <f>VLOOKUP(Summary!M1501,Summary!$P$42:$Q$43,2)</f>
        <v>86</v>
      </c>
      <c r="F1491">
        <f>IF(LEFT(A1491,3)="B60",20,IF(LEFT(A1491,3)="B12",30,25))+B1491*0.5+INT(Summary!M1504*20)</f>
        <v>230</v>
      </c>
      <c r="G1491">
        <f>ROUND(IF(OR(ISERROR(FIND(Summary!$P$89,CONCATENATE(C1491,D1491,E1491))),ISERROR(FIND(Summary!$Q$89,A1491))),Summary!$R$45,IF(H1491&gt;Summary!$V$3,Summary!$R$46,Summary!$R$45))*(B1491+30),0)</f>
        <v>49</v>
      </c>
      <c r="H1491">
        <f>IF(H1490&gt;Summary!$V$4,0,H1490+F1490)</f>
        <v>172377</v>
      </c>
      <c r="I1491" s="26">
        <f>DATE(YEAR(Summary!$V$2),MONTH(Summary!$V$2),DAY(Summary!$V$2)+INT(H1491/480))</f>
        <v>43949</v>
      </c>
      <c r="J1491" s="27">
        <f t="shared" si="24"/>
        <v>0.37291666666666662</v>
      </c>
    </row>
    <row r="1492" spans="1:10">
      <c r="A1492" t="str">
        <f>VLOOKUP(Summary!M1491,Summary!$P$13:$Q$24,2)</f>
        <v>B1700-lime</v>
      </c>
      <c r="B1492">
        <f>ROUND(NORMINV(Summary!M1493,VLOOKUP(A1492,Summary!$Q$13:$S$24,3,FALSE),VLOOKUP(A1492,Summary!$Q$13:$S$24,3,FALSE)/6),-1)</f>
        <v>290</v>
      </c>
      <c r="C1492" t="str">
        <f>IF(AND(H1492=0,C1491=Summary!$P$2),Summary!$Q$2,IF(AND(H1492=0,C1491=Summary!$Q$2),Summary!$R$2,C1491))</f>
        <v>Jared</v>
      </c>
      <c r="D1492" t="str">
        <f>IF(C1492=Summary!$P$26,VLOOKUP(Summary!M1499,Summary!$Q$26:$R$27,2),IF('Run Data'!C1492=Summary!$P$28,VLOOKUP(Summary!M1499,Summary!$Q$28:$R$29,2),VLOOKUP(Summary!M1499,Summary!$Q$30:$R$32,2)))</f>
        <v>Sprig 3</v>
      </c>
      <c r="E1492" t="str">
        <f>VLOOKUP(Summary!M1502,Summary!$P$42:$Q$43,2)</f>
        <v>86</v>
      </c>
      <c r="F1492">
        <f>IF(LEFT(A1492,3)="B60",20,IF(LEFT(A1492,3)="B12",30,25))+B1492*0.5+INT(Summary!M1505*20)</f>
        <v>186</v>
      </c>
      <c r="G1492">
        <f>ROUND(IF(OR(ISERROR(FIND(Summary!$P$89,CONCATENATE(C1492,D1492,E1492))),ISERROR(FIND(Summary!$Q$89,A1492))),Summary!$R$45,IF(H1492&gt;Summary!$V$3,Summary!$R$46,Summary!$R$45))*(B1492+30),0)</f>
        <v>38</v>
      </c>
      <c r="H1492">
        <f>IF(H1491&gt;Summary!$V$4,0,H1491+F1491)</f>
        <v>172607</v>
      </c>
      <c r="I1492" s="26">
        <f>DATE(YEAR(Summary!$V$2),MONTH(Summary!$V$2),DAY(Summary!$V$2)+INT(H1492/480))</f>
        <v>43949</v>
      </c>
      <c r="J1492" s="27">
        <f t="shared" si="24"/>
        <v>0.53263888888888888</v>
      </c>
    </row>
    <row r="1493" spans="1:10">
      <c r="A1493" t="str">
        <f>VLOOKUP(Summary!M1492,Summary!$P$13:$Q$24,2)</f>
        <v>B1200-sky</v>
      </c>
      <c r="B1493">
        <f>ROUND(NORMINV(Summary!M1494,VLOOKUP(A1493,Summary!$Q$13:$S$24,3,FALSE),VLOOKUP(A1493,Summary!$Q$13:$S$24,3,FALSE)/6),-1)</f>
        <v>1390</v>
      </c>
      <c r="C1493" t="str">
        <f>IF(AND(H1493=0,C1492=Summary!$P$2),Summary!$Q$2,IF(AND(H1493=0,C1492=Summary!$Q$2),Summary!$R$2,C1492))</f>
        <v>Jared</v>
      </c>
      <c r="D1493" t="str">
        <f>IF(C1493=Summary!$P$26,VLOOKUP(Summary!M1500,Summary!$Q$26:$R$27,2),IF('Run Data'!C1493=Summary!$P$28,VLOOKUP(Summary!M1500,Summary!$Q$28:$R$29,2),VLOOKUP(Summary!M1500,Summary!$Q$30:$R$32,2)))</f>
        <v>Sprig 1</v>
      </c>
      <c r="E1493" t="str">
        <f>VLOOKUP(Summary!M1503,Summary!$P$42:$Q$43,2)</f>
        <v>86</v>
      </c>
      <c r="F1493">
        <f>IF(LEFT(A1493,3)="B60",20,IF(LEFT(A1493,3)="B12",30,25))+B1493*0.5+INT(Summary!M1506*20)</f>
        <v>734</v>
      </c>
      <c r="G1493">
        <f>ROUND(IF(OR(ISERROR(FIND(Summary!$P$89,CONCATENATE(C1493,D1493,E1493))),ISERROR(FIND(Summary!$Q$89,A1493))),Summary!$R$45,IF(H1493&gt;Summary!$V$3,Summary!$R$46,Summary!$R$45))*(B1493+30),0)</f>
        <v>14</v>
      </c>
      <c r="H1493">
        <f>IF(H1492&gt;Summary!$V$4,0,H1492+F1492)</f>
        <v>172793</v>
      </c>
      <c r="I1493" s="26">
        <f>DATE(YEAR(Summary!$V$2),MONTH(Summary!$V$2),DAY(Summary!$V$2)+INT(H1493/480))</f>
        <v>43949</v>
      </c>
      <c r="J1493" s="27">
        <f t="shared" si="24"/>
        <v>0.66180555555555554</v>
      </c>
    </row>
    <row r="1494" spans="1:10">
      <c r="A1494" t="str">
        <f>VLOOKUP(Summary!M1493,Summary!$P$13:$Q$24,2)</f>
        <v>B600-sky</v>
      </c>
      <c r="B1494">
        <f>ROUND(NORMINV(Summary!M1495,VLOOKUP(A1494,Summary!$Q$13:$S$24,3,FALSE),VLOOKUP(A1494,Summary!$Q$13:$S$24,3,FALSE)/6),-1)</f>
        <v>480</v>
      </c>
      <c r="C1494" t="str">
        <f>IF(AND(H1494=0,C1493=Summary!$P$2),Summary!$Q$2,IF(AND(H1494=0,C1493=Summary!$Q$2),Summary!$R$2,C1493))</f>
        <v>Jared</v>
      </c>
      <c r="D1494" t="str">
        <f>IF(C1494=Summary!$P$26,VLOOKUP(Summary!M1501,Summary!$Q$26:$R$27,2),IF('Run Data'!C1494=Summary!$P$28,VLOOKUP(Summary!M1501,Summary!$Q$28:$R$29,2),VLOOKUP(Summary!M1501,Summary!$Q$30:$R$32,2)))</f>
        <v>Sprig 1</v>
      </c>
      <c r="E1494" t="str">
        <f>VLOOKUP(Summary!M1504,Summary!$P$42:$Q$43,2)</f>
        <v>86</v>
      </c>
      <c r="F1494">
        <f>IF(LEFT(A1494,3)="B60",20,IF(LEFT(A1494,3)="B12",30,25))+B1494*0.5+INT(Summary!M1507*20)</f>
        <v>268</v>
      </c>
      <c r="G1494">
        <f>ROUND(IF(OR(ISERROR(FIND(Summary!$P$89,CONCATENATE(C1494,D1494,E1494))),ISERROR(FIND(Summary!$Q$89,A1494))),Summary!$R$45,IF(H1494&gt;Summary!$V$3,Summary!$R$46,Summary!$R$45))*(B1494+30),0)</f>
        <v>5</v>
      </c>
      <c r="H1494">
        <f>IF(H1493&gt;Summary!$V$4,0,H1493+F1493)</f>
        <v>173527</v>
      </c>
      <c r="I1494" s="26">
        <f>DATE(YEAR(Summary!$V$2),MONTH(Summary!$V$2),DAY(Summary!$V$2)+INT(H1494/480))</f>
        <v>43951</v>
      </c>
      <c r="J1494" s="27">
        <f t="shared" si="24"/>
        <v>0.50486111111111109</v>
      </c>
    </row>
    <row r="1495" spans="1:10">
      <c r="A1495" t="str">
        <f>VLOOKUP(Summary!M1494,Summary!$P$13:$Q$24,2)</f>
        <v>B1700-sky</v>
      </c>
      <c r="B1495">
        <f>ROUND(NORMINV(Summary!M1496,VLOOKUP(A1495,Summary!$Q$13:$S$24,3,FALSE),VLOOKUP(A1495,Summary!$Q$13:$S$24,3,FALSE)/6),-1)</f>
        <v>580</v>
      </c>
      <c r="C1495" t="str">
        <f>IF(AND(H1495=0,C1494=Summary!$P$2),Summary!$Q$2,IF(AND(H1495=0,C1494=Summary!$Q$2),Summary!$R$2,C1494))</f>
        <v>Jared</v>
      </c>
      <c r="D1495" t="str">
        <f>IF(C1495=Summary!$P$26,VLOOKUP(Summary!M1502,Summary!$Q$26:$R$27,2),IF('Run Data'!C1495=Summary!$P$28,VLOOKUP(Summary!M1502,Summary!$Q$28:$R$29,2),VLOOKUP(Summary!M1502,Summary!$Q$30:$R$32,2)))</f>
        <v>Sprig 3</v>
      </c>
      <c r="E1495" t="str">
        <f>VLOOKUP(Summary!M1505,Summary!$P$42:$Q$43,2)</f>
        <v>86</v>
      </c>
      <c r="F1495">
        <f>IF(LEFT(A1495,3)="B60",20,IF(LEFT(A1495,3)="B12",30,25))+B1495*0.5+INT(Summary!M1508*20)</f>
        <v>317</v>
      </c>
      <c r="G1495">
        <f>ROUND(IF(OR(ISERROR(FIND(Summary!$P$89,CONCATENATE(C1495,D1495,E1495))),ISERROR(FIND(Summary!$Q$89,A1495))),Summary!$R$45,IF(H1495&gt;Summary!$V$3,Summary!$R$46,Summary!$R$45))*(B1495+30),0)</f>
        <v>73</v>
      </c>
      <c r="H1495">
        <f>IF(H1494&gt;Summary!$V$4,0,H1494+F1494)</f>
        <v>173795</v>
      </c>
      <c r="I1495" s="26">
        <f>DATE(YEAR(Summary!$V$2),MONTH(Summary!$V$2),DAY(Summary!$V$2)+INT(H1495/480))</f>
        <v>43952</v>
      </c>
      <c r="J1495" s="27">
        <f t="shared" si="24"/>
        <v>0.3576388888888889</v>
      </c>
    </row>
    <row r="1496" spans="1:10">
      <c r="A1496" t="str">
        <f>VLOOKUP(Summary!M1495,Summary!$P$13:$Q$24,2)</f>
        <v>B1200-sky</v>
      </c>
      <c r="B1496">
        <f>ROUND(NORMINV(Summary!M1497,VLOOKUP(A1496,Summary!$Q$13:$S$24,3,FALSE),VLOOKUP(A1496,Summary!$Q$13:$S$24,3,FALSE)/6),-1)</f>
        <v>1210</v>
      </c>
      <c r="C1496" t="str">
        <f>IF(AND(H1496=0,C1495=Summary!$P$2),Summary!$Q$2,IF(AND(H1496=0,C1495=Summary!$Q$2),Summary!$R$2,C1495))</f>
        <v>Jared</v>
      </c>
      <c r="D1496" t="str">
        <f>IF(C1496=Summary!$P$26,VLOOKUP(Summary!M1503,Summary!$Q$26:$R$27,2),IF('Run Data'!C1496=Summary!$P$28,VLOOKUP(Summary!M1503,Summary!$Q$28:$R$29,2),VLOOKUP(Summary!M1503,Summary!$Q$30:$R$32,2)))</f>
        <v>Sprig 1</v>
      </c>
      <c r="E1496" t="str">
        <f>VLOOKUP(Summary!M1506,Summary!$P$42:$Q$43,2)</f>
        <v>86</v>
      </c>
      <c r="F1496">
        <f>IF(LEFT(A1496,3)="B60",20,IF(LEFT(A1496,3)="B12",30,25))+B1496*0.5+INT(Summary!M1509*20)</f>
        <v>648</v>
      </c>
      <c r="G1496">
        <f>ROUND(IF(OR(ISERROR(FIND(Summary!$P$89,CONCATENATE(C1496,D1496,E1496))),ISERROR(FIND(Summary!$Q$89,A1496))),Summary!$R$45,IF(H1496&gt;Summary!$V$3,Summary!$R$46,Summary!$R$45))*(B1496+30),0)</f>
        <v>12</v>
      </c>
      <c r="H1496">
        <f>IF(H1495&gt;Summary!$V$4,0,H1495+F1495)</f>
        <v>174112</v>
      </c>
      <c r="I1496" s="26">
        <f>DATE(YEAR(Summary!$V$2),MONTH(Summary!$V$2),DAY(Summary!$V$2)+INT(H1496/480))</f>
        <v>43952</v>
      </c>
      <c r="J1496" s="27">
        <f t="shared" si="24"/>
        <v>0.57777777777777783</v>
      </c>
    </row>
    <row r="1497" spans="1:10">
      <c r="A1497" t="str">
        <f>VLOOKUP(Summary!M1496,Summary!$P$13:$Q$24,2)</f>
        <v>B1200-lime</v>
      </c>
      <c r="B1497">
        <f>ROUND(NORMINV(Summary!M1498,VLOOKUP(A1497,Summary!$Q$13:$S$24,3,FALSE),VLOOKUP(A1497,Summary!$Q$13:$S$24,3,FALSE)/6),-1)</f>
        <v>410</v>
      </c>
      <c r="C1497" t="str">
        <f>IF(AND(H1497=0,C1496=Summary!$P$2),Summary!$Q$2,IF(AND(H1497=0,C1496=Summary!$Q$2),Summary!$R$2,C1496))</f>
        <v>Jared</v>
      </c>
      <c r="D1497" t="str">
        <f>IF(C1497=Summary!$P$26,VLOOKUP(Summary!M1504,Summary!$Q$26:$R$27,2),IF('Run Data'!C1497=Summary!$P$28,VLOOKUP(Summary!M1504,Summary!$Q$28:$R$29,2),VLOOKUP(Summary!M1504,Summary!$Q$30:$R$32,2)))</f>
        <v>Sprig 3</v>
      </c>
      <c r="E1497" t="str">
        <f>VLOOKUP(Summary!M1507,Summary!$P$42:$Q$43,2)</f>
        <v>86</v>
      </c>
      <c r="F1497">
        <f>IF(LEFT(A1497,3)="B60",20,IF(LEFT(A1497,3)="B12",30,25))+B1497*0.5+INT(Summary!M1510*20)</f>
        <v>243</v>
      </c>
      <c r="G1497">
        <f>ROUND(IF(OR(ISERROR(FIND(Summary!$P$89,CONCATENATE(C1497,D1497,E1497))),ISERROR(FIND(Summary!$Q$89,A1497))),Summary!$R$45,IF(H1497&gt;Summary!$V$3,Summary!$R$46,Summary!$R$45))*(B1497+30),0)</f>
        <v>4</v>
      </c>
      <c r="H1497">
        <f>IF(H1496&gt;Summary!$V$4,0,H1496+F1496)</f>
        <v>174760</v>
      </c>
      <c r="I1497" s="26">
        <f>DATE(YEAR(Summary!$V$2),MONTH(Summary!$V$2),DAY(Summary!$V$2)+INT(H1497/480))</f>
        <v>43954</v>
      </c>
      <c r="J1497" s="27">
        <f t="shared" si="24"/>
        <v>0.3611111111111111</v>
      </c>
    </row>
    <row r="1498" spans="1:10">
      <c r="A1498" t="str">
        <f>VLOOKUP(Summary!M1497,Summary!$P$13:$Q$24,2)</f>
        <v>B1200-fire</v>
      </c>
      <c r="B1498">
        <f>ROUND(NORMINV(Summary!M1499,VLOOKUP(A1498,Summary!$Q$13:$S$24,3,FALSE),VLOOKUP(A1498,Summary!$Q$13:$S$24,3,FALSE)/6),-1)</f>
        <v>1590</v>
      </c>
      <c r="C1498" t="str">
        <f>IF(AND(H1498=0,C1497=Summary!$P$2),Summary!$Q$2,IF(AND(H1498=0,C1497=Summary!$Q$2),Summary!$R$2,C1497))</f>
        <v>Jared</v>
      </c>
      <c r="D1498" t="str">
        <f>IF(C1498=Summary!$P$26,VLOOKUP(Summary!M1505,Summary!$Q$26:$R$27,2),IF('Run Data'!C1498=Summary!$P$28,VLOOKUP(Summary!M1505,Summary!$Q$28:$R$29,2),VLOOKUP(Summary!M1505,Summary!$Q$30:$R$32,2)))</f>
        <v>Sprig 3</v>
      </c>
      <c r="E1498" t="str">
        <f>VLOOKUP(Summary!M1508,Summary!$P$42:$Q$43,2)</f>
        <v>86</v>
      </c>
      <c r="F1498">
        <f>IF(LEFT(A1498,3)="B60",20,IF(LEFT(A1498,3)="B12",30,25))+B1498*0.5+INT(Summary!M1511*20)</f>
        <v>833</v>
      </c>
      <c r="G1498">
        <f>ROUND(IF(OR(ISERROR(FIND(Summary!$P$89,CONCATENATE(C1498,D1498,E1498))),ISERROR(FIND(Summary!$Q$89,A1498))),Summary!$R$45,IF(H1498&gt;Summary!$V$3,Summary!$R$46,Summary!$R$45))*(B1498+30),0)</f>
        <v>16</v>
      </c>
      <c r="H1498">
        <f>IF(H1497&gt;Summary!$V$4,0,H1497+F1497)</f>
        <v>175003</v>
      </c>
      <c r="I1498" s="26">
        <f>DATE(YEAR(Summary!$V$2),MONTH(Summary!$V$2),DAY(Summary!$V$2)+INT(H1498/480))</f>
        <v>43954</v>
      </c>
      <c r="J1498" s="27">
        <f t="shared" si="24"/>
        <v>0.52986111111111112</v>
      </c>
    </row>
    <row r="1499" spans="1:10">
      <c r="A1499" t="str">
        <f>VLOOKUP(Summary!M1498,Summary!$P$13:$Q$24,2)</f>
        <v>B600-plum</v>
      </c>
      <c r="B1499">
        <f>ROUND(NORMINV(Summary!M1500,VLOOKUP(A1499,Summary!$Q$13:$S$24,3,FALSE),VLOOKUP(A1499,Summary!$Q$13:$S$24,3,FALSE)/6),-1)</f>
        <v>170</v>
      </c>
      <c r="C1499" t="str">
        <f>IF(AND(H1499=0,C1498=Summary!$P$2),Summary!$Q$2,IF(AND(H1499=0,C1498=Summary!$Q$2),Summary!$R$2,C1498))</f>
        <v>Jared</v>
      </c>
      <c r="D1499" t="str">
        <f>IF(C1499=Summary!$P$26,VLOOKUP(Summary!M1506,Summary!$Q$26:$R$27,2),IF('Run Data'!C1499=Summary!$P$28,VLOOKUP(Summary!M1506,Summary!$Q$28:$R$29,2),VLOOKUP(Summary!M1506,Summary!$Q$30:$R$32,2)))</f>
        <v>Sprig 2</v>
      </c>
      <c r="E1499" t="str">
        <f>VLOOKUP(Summary!M1509,Summary!$P$42:$Q$43,2)</f>
        <v>86</v>
      </c>
      <c r="F1499">
        <f>IF(LEFT(A1499,3)="B60",20,IF(LEFT(A1499,3)="B12",30,25))+B1499*0.5+INT(Summary!M1512*20)</f>
        <v>124</v>
      </c>
      <c r="G1499">
        <f>ROUND(IF(OR(ISERROR(FIND(Summary!$P$89,CONCATENATE(C1499,D1499,E1499))),ISERROR(FIND(Summary!$Q$89,A1499))),Summary!$R$45,IF(H1499&gt;Summary!$V$3,Summary!$R$46,Summary!$R$45))*(B1499+30),0)</f>
        <v>2</v>
      </c>
      <c r="H1499">
        <f>IF(H1498&gt;Summary!$V$4,0,H1498+F1498)</f>
        <v>175836</v>
      </c>
      <c r="I1499" s="26">
        <f>DATE(YEAR(Summary!$V$2),MONTH(Summary!$V$2),DAY(Summary!$V$2)+INT(H1499/480))</f>
        <v>43956</v>
      </c>
      <c r="J1499" s="27">
        <f t="shared" si="24"/>
        <v>0.44166666666666665</v>
      </c>
    </row>
    <row r="1500" spans="1:10">
      <c r="A1500" t="str">
        <f>VLOOKUP(Summary!M1499,Summary!$P$13:$Q$24,2)</f>
        <v>B1700-lime</v>
      </c>
      <c r="B1500">
        <f>ROUND(NORMINV(Summary!M1501,VLOOKUP(A1500,Summary!$Q$13:$S$24,3,FALSE),VLOOKUP(A1500,Summary!$Q$13:$S$24,3,FALSE)/6),-1)</f>
        <v>290</v>
      </c>
      <c r="C1500" t="str">
        <f>IF(AND(H1500=0,C1499=Summary!$P$2),Summary!$Q$2,IF(AND(H1500=0,C1499=Summary!$Q$2),Summary!$R$2,C1499))</f>
        <v>Jared</v>
      </c>
      <c r="D1500" t="str">
        <f>IF(C1500=Summary!$P$26,VLOOKUP(Summary!M1507,Summary!$Q$26:$R$27,2),IF('Run Data'!C1500=Summary!$P$28,VLOOKUP(Summary!M1507,Summary!$Q$28:$R$29,2),VLOOKUP(Summary!M1507,Summary!$Q$30:$R$32,2)))</f>
        <v>Sprig 2</v>
      </c>
      <c r="E1500" t="str">
        <f>VLOOKUP(Summary!M1510,Summary!$P$42:$Q$43,2)</f>
        <v>86</v>
      </c>
      <c r="F1500">
        <f>IF(LEFT(A1500,3)="B60",20,IF(LEFT(A1500,3)="B12",30,25))+B1500*0.5+INT(Summary!M1513*20)</f>
        <v>180</v>
      </c>
      <c r="G1500">
        <f>ROUND(IF(OR(ISERROR(FIND(Summary!$P$89,CONCATENATE(C1500,D1500,E1500))),ISERROR(FIND(Summary!$Q$89,A1500))),Summary!$R$45,IF(H1500&gt;Summary!$V$3,Summary!$R$46,Summary!$R$45))*(B1500+30),0)</f>
        <v>38</v>
      </c>
      <c r="H1500">
        <f>IF(H1499&gt;Summary!$V$4,0,H1499+F1499)</f>
        <v>175960</v>
      </c>
      <c r="I1500" s="26">
        <f>DATE(YEAR(Summary!$V$2),MONTH(Summary!$V$2),DAY(Summary!$V$2)+INT(H1500/480))</f>
        <v>43956</v>
      </c>
      <c r="J1500" s="27">
        <f t="shared" si="24"/>
        <v>0.52777777777777779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Check</vt:lpstr>
      <vt:lpstr>Scores</vt:lpstr>
      <vt:lpstr>Comments</vt:lpstr>
      <vt:lpstr>Run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Brad Meyer</cp:lastModifiedBy>
  <dcterms:created xsi:type="dcterms:W3CDTF">2017-08-18T21:19:28Z</dcterms:created>
  <dcterms:modified xsi:type="dcterms:W3CDTF">2019-05-04T15:06:32Z</dcterms:modified>
</cp:coreProperties>
</file>